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7.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showInkAnnotation="0" saveExternalLinkValues="0"/>
  <xr:revisionPtr revIDLastSave="0" documentId="13_ncr:1_{229CE9AB-F088-4495-A379-2313A877E47B}" xr6:coauthVersionLast="47" xr6:coauthVersionMax="47" xr10:uidLastSave="{00000000-0000-0000-0000-000000000000}"/>
  <bookViews>
    <workbookView xWindow="-120" yWindow="-120" windowWidth="19440" windowHeight="15000" tabRatio="919" activeTab="1" xr2:uid="{00000000-000D-0000-FFFF-FFFF00000000}"/>
  </bookViews>
  <sheets>
    <sheet name="toel" sheetId="7" r:id="rId1"/>
    <sheet name="geg ll" sheetId="31" r:id="rId2"/>
    <sheet name="LWOO-PRO" sheetId="29" r:id="rId3"/>
    <sheet name="pers" sheetId="18" r:id="rId4"/>
    <sheet name="overdr VSO" sheetId="24" state="hidden" r:id="rId5"/>
    <sheet name="peild VSO" sheetId="44" state="hidden" r:id="rId6"/>
    <sheet name=" sal SWV" sheetId="13" r:id="rId7"/>
    <sheet name="mat" sheetId="35" r:id="rId8"/>
    <sheet name="programma's" sheetId="48" r:id="rId9"/>
    <sheet name="mip" sheetId="36" r:id="rId10"/>
    <sheet name="act" sheetId="37" r:id="rId11"/>
    <sheet name="begr" sheetId="38" r:id="rId12"/>
    <sheet name="bal" sheetId="39" r:id="rId13"/>
    <sheet name="liq" sheetId="40" r:id="rId14"/>
    <sheet name="ken" sheetId="49" r:id="rId15"/>
    <sheet name="graf" sheetId="51" r:id="rId16"/>
    <sheet name="tab" sheetId="22" r:id="rId17"/>
    <sheet name="sal" sheetId="54" r:id="rId18"/>
    <sheet name="Li O school" sheetId="53" state="hidden" r:id="rId19"/>
    <sheet name="Zw O school" sheetId="43" state="hidden" r:id="rId20"/>
    <sheet name="hlpbl" sheetId="28" state="hidden" r:id="rId21"/>
  </sheets>
  <definedNames>
    <definedName name="_xlnm._FilterDatabase" localSheetId="6" hidden="1">' sal SWV'!$I$47:$I$66</definedName>
    <definedName name="_xlnm._FilterDatabase" localSheetId="9" hidden="1">mip!$D$14:$I$17</definedName>
    <definedName name="_xlnm.Print_Area" localSheetId="6">' sal SWV'!$B$2:$W$133</definedName>
    <definedName name="_xlnm.Print_Area" localSheetId="10">act!$B$2:$O$46</definedName>
    <definedName name="_xlnm.Print_Area" localSheetId="12">bal!$B$2:$O$71</definedName>
    <definedName name="_xlnm.Print_Area" localSheetId="11">begr!$B$2:$N$105</definedName>
    <definedName name="_xlnm.Print_Area" localSheetId="1">'geg ll'!$B$2:$N$91</definedName>
    <definedName name="_xlnm.Print_Area" localSheetId="15">graf!$B$2:$R$185</definedName>
    <definedName name="_xlnm.Print_Area" localSheetId="20">hlpbl!$B$2:$L$46</definedName>
    <definedName name="_xlnm.Print_Area" localSheetId="14">ken!$B$2:$N$124</definedName>
    <definedName name="_xlnm.Print_Area" localSheetId="18">'Li O school'!$B$2:$T$144,'Li O school'!$X$2:$AV$144</definedName>
    <definedName name="_xlnm.Print_Area" localSheetId="13">liq!$B$2:$N$55</definedName>
    <definedName name="_xlnm.Print_Area" localSheetId="2">'LWOO-PRO'!$B$2:$W$44,'LWOO-PRO'!$B$46:$AF$110</definedName>
    <definedName name="_xlnm.Print_Area" localSheetId="7">mat!$B$2:$Q$235</definedName>
    <definedName name="_xlnm.Print_Area" localSheetId="9">mip!$B$2:$Z$72</definedName>
    <definedName name="_xlnm.Print_Area" localSheetId="4">'overdr VSO'!$B$2:$Q$269</definedName>
    <definedName name="_xlnm.Print_Area" localSheetId="5">'peild VSO'!$B$2:$O$49</definedName>
    <definedName name="_xlnm.Print_Area" localSheetId="3">pers!$B$2:$P$279</definedName>
    <definedName name="_xlnm.Print_Area" localSheetId="8">'programma''s'!$B$2:$P$222</definedName>
    <definedName name="_xlnm.Print_Area" localSheetId="17">sal!$B$2:$U$114</definedName>
    <definedName name="_xlnm.Print_Area" localSheetId="16">tab!$A$1:$J$81</definedName>
    <definedName name="_xlnm.Print_Area" localSheetId="0">toel!$B$2:$M$272</definedName>
    <definedName name="_xlnm.Print_Area" localSheetId="19">'Zw O school'!$B$2:$X$144,'Zw O school'!$Z$2:$AK$144</definedName>
    <definedName name="_xlnm.Print_Area">'LWOO-PRO'!$B$2:$W$44</definedName>
    <definedName name="categorieMatVSO">tab!$A$50:$I$52</definedName>
    <definedName name="categoriePersVSO">tab!$A$45:$H$47</definedName>
    <definedName name="_xlnm.Criteria" localSheetId="6">' sal SWV'!$D$234:$D$259</definedName>
    <definedName name="sal2018juni">sal!$B$6:$S$30</definedName>
    <definedName name="sal2019jan">sal!$B$34:$S$58</definedName>
    <definedName name="sal2019juni">sal!$B$62:$S$86</definedName>
    <definedName name="salaug2020">sal!$B$146:$R$170</definedName>
    <definedName name="salmrt2020">sal!$B$90:$S$114</definedName>
    <definedName name="Verhoudingstabel_LB">sal!$T$90:$U$114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40" l="1"/>
  <c r="J19" i="40"/>
  <c r="K19" i="40"/>
  <c r="L19" i="40"/>
  <c r="H19" i="40"/>
  <c r="J15" i="39"/>
  <c r="K15" i="39"/>
  <c r="L15" i="39"/>
  <c r="M15" i="39"/>
  <c r="I15" i="39"/>
  <c r="L44" i="40"/>
  <c r="L38" i="40"/>
  <c r="L37" i="40"/>
  <c r="I36" i="40"/>
  <c r="J36" i="40"/>
  <c r="K36" i="40"/>
  <c r="L36" i="40"/>
  <c r="L40" i="40" s="1"/>
  <c r="H36" i="40"/>
  <c r="H40" i="40" s="1"/>
  <c r="L28" i="40"/>
  <c r="I25" i="40"/>
  <c r="J25" i="40"/>
  <c r="K25" i="40"/>
  <c r="L25" i="40"/>
  <c r="L26" i="40" s="1"/>
  <c r="H25" i="40"/>
  <c r="I24" i="40"/>
  <c r="J24" i="40"/>
  <c r="K24" i="40"/>
  <c r="L24" i="40"/>
  <c r="H24" i="40"/>
  <c r="I23" i="40"/>
  <c r="J23" i="40"/>
  <c r="K23" i="40"/>
  <c r="L23" i="40"/>
  <c r="H23" i="40"/>
  <c r="I22" i="40"/>
  <c r="J22" i="40"/>
  <c r="K22" i="40"/>
  <c r="L22" i="40"/>
  <c r="H22" i="40"/>
  <c r="L85" i="38"/>
  <c r="L81" i="38"/>
  <c r="L77" i="38"/>
  <c r="L72" i="38"/>
  <c r="L73" i="38" s="1"/>
  <c r="L70" i="38"/>
  <c r="L69" i="38"/>
  <c r="L68" i="38"/>
  <c r="L67" i="38"/>
  <c r="I32" i="49"/>
  <c r="J32" i="49"/>
  <c r="K32" i="49"/>
  <c r="L32" i="49"/>
  <c r="I30" i="49"/>
  <c r="J30" i="49"/>
  <c r="K30" i="49"/>
  <c r="L30" i="49"/>
  <c r="I31" i="49"/>
  <c r="J31" i="49"/>
  <c r="K31" i="49"/>
  <c r="L31" i="49"/>
  <c r="H32" i="49"/>
  <c r="H31" i="49"/>
  <c r="H30" i="49"/>
  <c r="I96" i="49"/>
  <c r="J96" i="49"/>
  <c r="K96" i="49"/>
  <c r="L96" i="49"/>
  <c r="I97" i="49"/>
  <c r="J97" i="49"/>
  <c r="K97" i="49"/>
  <c r="L97" i="49"/>
  <c r="I98" i="49"/>
  <c r="J98" i="49"/>
  <c r="K98" i="49"/>
  <c r="L98" i="49"/>
  <c r="I99" i="49"/>
  <c r="J99" i="49"/>
  <c r="K99" i="49"/>
  <c r="L99" i="49"/>
  <c r="I100" i="49"/>
  <c r="J100" i="49"/>
  <c r="K100" i="49"/>
  <c r="L100" i="49"/>
  <c r="I101" i="49"/>
  <c r="J101" i="49"/>
  <c r="K101" i="49"/>
  <c r="L101" i="49"/>
  <c r="I102" i="49"/>
  <c r="J102" i="49"/>
  <c r="K102" i="49"/>
  <c r="L102" i="49"/>
  <c r="I103" i="49"/>
  <c r="J103" i="49"/>
  <c r="K103" i="49"/>
  <c r="L103" i="49"/>
  <c r="H103" i="49"/>
  <c r="H102" i="49"/>
  <c r="H101" i="49"/>
  <c r="H100" i="49"/>
  <c r="H99" i="49"/>
  <c r="H98" i="49"/>
  <c r="H97" i="49"/>
  <c r="H96" i="49"/>
  <c r="L155" i="35"/>
  <c r="M155" i="35"/>
  <c r="N155" i="35"/>
  <c r="O155" i="35"/>
  <c r="K155" i="35"/>
  <c r="J13" i="44"/>
  <c r="K13" i="44"/>
  <c r="L13" i="44"/>
  <c r="M13" i="44"/>
  <c r="N163" i="24"/>
  <c r="O163" i="24"/>
  <c r="N164" i="24"/>
  <c r="O164" i="24"/>
  <c r="N165" i="24"/>
  <c r="O165" i="24"/>
  <c r="N166" i="24"/>
  <c r="O166" i="24"/>
  <c r="N167" i="24"/>
  <c r="O167" i="24"/>
  <c r="N168" i="24"/>
  <c r="O168" i="24"/>
  <c r="N169" i="24"/>
  <c r="O169" i="24"/>
  <c r="N170" i="24"/>
  <c r="O170" i="24"/>
  <c r="N171" i="24"/>
  <c r="O171" i="24"/>
  <c r="N172" i="24"/>
  <c r="O172" i="24"/>
  <c r="N173" i="24"/>
  <c r="O173" i="24"/>
  <c r="N174" i="24"/>
  <c r="O174" i="24"/>
  <c r="N175" i="24"/>
  <c r="O175" i="24"/>
  <c r="N176" i="24"/>
  <c r="O176" i="24"/>
  <c r="N177" i="24"/>
  <c r="O177" i="24"/>
  <c r="N178" i="24"/>
  <c r="O178" i="24"/>
  <c r="N179" i="24"/>
  <c r="O179" i="24"/>
  <c r="N180" i="24"/>
  <c r="O180" i="24"/>
  <c r="N181" i="24"/>
  <c r="O181" i="24"/>
  <c r="N182" i="24"/>
  <c r="O182" i="24"/>
  <c r="N183" i="24"/>
  <c r="O183" i="24"/>
  <c r="N184" i="24"/>
  <c r="O184" i="24"/>
  <c r="N185" i="24"/>
  <c r="O185" i="24"/>
  <c r="N186" i="24"/>
  <c r="O186" i="24"/>
  <c r="N187" i="24"/>
  <c r="O187" i="24"/>
  <c r="N188" i="24"/>
  <c r="O188" i="24"/>
  <c r="N189" i="24"/>
  <c r="O189" i="24"/>
  <c r="N190" i="24"/>
  <c r="O190" i="24"/>
  <c r="N191" i="24"/>
  <c r="O191" i="24"/>
  <c r="N192" i="24"/>
  <c r="O192" i="24"/>
  <c r="N193" i="24"/>
  <c r="O193" i="24"/>
  <c r="N194" i="24"/>
  <c r="O194" i="24"/>
  <c r="N195" i="24"/>
  <c r="O195" i="24"/>
  <c r="N196" i="24"/>
  <c r="O196" i="24"/>
  <c r="N197" i="24"/>
  <c r="O197" i="24"/>
  <c r="N198" i="24"/>
  <c r="O198" i="24"/>
  <c r="N199" i="24"/>
  <c r="O199" i="24"/>
  <c r="N200" i="24"/>
  <c r="O200" i="24"/>
  <c r="N201" i="24"/>
  <c r="O201" i="24"/>
  <c r="N202" i="24"/>
  <c r="O202" i="24"/>
  <c r="N203" i="24"/>
  <c r="O203" i="24"/>
  <c r="N204" i="24"/>
  <c r="O204" i="24"/>
  <c r="N205" i="24"/>
  <c r="O205" i="24"/>
  <c r="N206" i="24"/>
  <c r="O206" i="24"/>
  <c r="N207" i="24"/>
  <c r="O207" i="24"/>
  <c r="N208" i="24"/>
  <c r="O208" i="24"/>
  <c r="N209" i="24"/>
  <c r="O209" i="24"/>
  <c r="N210" i="24"/>
  <c r="O210" i="24"/>
  <c r="N211" i="24"/>
  <c r="O211" i="24"/>
  <c r="N212" i="24"/>
  <c r="O212" i="24"/>
  <c r="N213" i="24"/>
  <c r="O213" i="24"/>
  <c r="N214" i="24"/>
  <c r="O214" i="24"/>
  <c r="N215" i="24"/>
  <c r="O215" i="24"/>
  <c r="N216" i="24"/>
  <c r="O216" i="24"/>
  <c r="N217" i="24"/>
  <c r="O217" i="24"/>
  <c r="N218" i="24"/>
  <c r="O218" i="24"/>
  <c r="N219" i="24"/>
  <c r="O219" i="24"/>
  <c r="N220" i="24"/>
  <c r="O220" i="24"/>
  <c r="N221" i="24"/>
  <c r="O221" i="24"/>
  <c r="N222" i="24"/>
  <c r="O222" i="24"/>
  <c r="N223" i="24"/>
  <c r="O223" i="24"/>
  <c r="N224" i="24"/>
  <c r="O224" i="24"/>
  <c r="N225" i="24"/>
  <c r="O225" i="24"/>
  <c r="N226" i="24"/>
  <c r="O226" i="24"/>
  <c r="N227" i="24"/>
  <c r="O227" i="24"/>
  <c r="N228" i="24"/>
  <c r="O228" i="24"/>
  <c r="N229" i="24"/>
  <c r="O229" i="24"/>
  <c r="N230" i="24"/>
  <c r="O230" i="24"/>
  <c r="N231" i="24"/>
  <c r="O231" i="24"/>
  <c r="N232" i="24"/>
  <c r="O232" i="24"/>
  <c r="N233" i="24"/>
  <c r="O233" i="24"/>
  <c r="N234" i="24"/>
  <c r="O234" i="24"/>
  <c r="N235" i="24"/>
  <c r="O235" i="24"/>
  <c r="N236" i="24"/>
  <c r="O236" i="24"/>
  <c r="N237" i="24"/>
  <c r="O237" i="24"/>
  <c r="N238" i="24"/>
  <c r="O238" i="24"/>
  <c r="N239" i="24"/>
  <c r="O239" i="24"/>
  <c r="N240" i="24"/>
  <c r="O240" i="24"/>
  <c r="N241" i="24"/>
  <c r="O241" i="24"/>
  <c r="N242" i="24"/>
  <c r="O242" i="24"/>
  <c r="N243" i="24"/>
  <c r="O243" i="24"/>
  <c r="N244" i="24"/>
  <c r="O244" i="24"/>
  <c r="N245" i="24"/>
  <c r="O245" i="24"/>
  <c r="N246" i="24"/>
  <c r="O246" i="24"/>
  <c r="N247" i="24"/>
  <c r="O247" i="24"/>
  <c r="N248" i="24"/>
  <c r="O248" i="24"/>
  <c r="N249" i="24"/>
  <c r="O249" i="24"/>
  <c r="N250" i="24"/>
  <c r="O250" i="24"/>
  <c r="N251" i="24"/>
  <c r="O251" i="24"/>
  <c r="N252" i="24"/>
  <c r="O252" i="24"/>
  <c r="N253" i="24"/>
  <c r="O253" i="24"/>
  <c r="N254" i="24"/>
  <c r="O254" i="24"/>
  <c r="N255" i="24"/>
  <c r="O255" i="24"/>
  <c r="N256" i="24"/>
  <c r="O256" i="24"/>
  <c r="N257" i="24"/>
  <c r="O257" i="24"/>
  <c r="N258" i="24"/>
  <c r="O258" i="24"/>
  <c r="N259" i="24"/>
  <c r="O259" i="24"/>
  <c r="N260" i="24"/>
  <c r="O260" i="24"/>
  <c r="N261" i="24"/>
  <c r="O261" i="24"/>
  <c r="N262" i="24"/>
  <c r="O262" i="24"/>
  <c r="N263" i="24"/>
  <c r="O263" i="24"/>
  <c r="N264" i="24"/>
  <c r="O264" i="24"/>
  <c r="N160" i="24"/>
  <c r="O160" i="24"/>
  <c r="N161" i="24"/>
  <c r="O161" i="24"/>
  <c r="N162" i="24"/>
  <c r="O162" i="24"/>
  <c r="M264" i="24"/>
  <c r="M263" i="24"/>
  <c r="M262" i="24"/>
  <c r="M261" i="24"/>
  <c r="M260" i="24"/>
  <c r="M259" i="24"/>
  <c r="M258" i="24"/>
  <c r="M257" i="24"/>
  <c r="M256" i="24"/>
  <c r="M255" i="24"/>
  <c r="M254" i="24"/>
  <c r="M253" i="24"/>
  <c r="M252" i="24"/>
  <c r="M251" i="24"/>
  <c r="M250" i="24"/>
  <c r="M249" i="24"/>
  <c r="M248" i="24"/>
  <c r="M247" i="24"/>
  <c r="M246" i="24"/>
  <c r="M245" i="24"/>
  <c r="M244" i="24"/>
  <c r="M243" i="24"/>
  <c r="M242" i="24"/>
  <c r="M241" i="24"/>
  <c r="M240" i="24"/>
  <c r="M239" i="24"/>
  <c r="M238" i="24"/>
  <c r="M237" i="24"/>
  <c r="M236" i="24"/>
  <c r="M235" i="24"/>
  <c r="M234" i="24"/>
  <c r="M233" i="24"/>
  <c r="M232" i="24"/>
  <c r="M231" i="24"/>
  <c r="M230" i="24"/>
  <c r="M229" i="24"/>
  <c r="M228" i="24"/>
  <c r="M227" i="24"/>
  <c r="M226" i="24"/>
  <c r="M225" i="24"/>
  <c r="M224" i="24"/>
  <c r="M223" i="24"/>
  <c r="M222" i="24"/>
  <c r="M221" i="24"/>
  <c r="M220" i="24"/>
  <c r="M219" i="24"/>
  <c r="M218" i="24"/>
  <c r="M217" i="24"/>
  <c r="M216" i="24"/>
  <c r="M215" i="24"/>
  <c r="M214" i="24"/>
  <c r="M213" i="24"/>
  <c r="M212" i="24"/>
  <c r="M211" i="24"/>
  <c r="M210" i="24"/>
  <c r="M209" i="24"/>
  <c r="M208" i="24"/>
  <c r="M207" i="24"/>
  <c r="M206" i="24"/>
  <c r="M205" i="24"/>
  <c r="M204" i="24"/>
  <c r="M203" i="24"/>
  <c r="M202" i="24"/>
  <c r="M201" i="24"/>
  <c r="M200" i="24"/>
  <c r="M199" i="24"/>
  <c r="M198" i="24"/>
  <c r="M197" i="24"/>
  <c r="M196" i="24"/>
  <c r="M195" i="24"/>
  <c r="M194" i="24"/>
  <c r="M193" i="24"/>
  <c r="M192" i="24"/>
  <c r="M191" i="24"/>
  <c r="M190" i="24"/>
  <c r="M189" i="24"/>
  <c r="M188" i="24"/>
  <c r="M187" i="24"/>
  <c r="M186" i="24"/>
  <c r="M185" i="24"/>
  <c r="M184" i="24"/>
  <c r="M183" i="24"/>
  <c r="M182" i="24"/>
  <c r="M181" i="24"/>
  <c r="M180" i="24"/>
  <c r="M179" i="24"/>
  <c r="M178" i="24"/>
  <c r="M177" i="24"/>
  <c r="M176" i="24"/>
  <c r="M175" i="24"/>
  <c r="M174" i="24"/>
  <c r="M173" i="24"/>
  <c r="M172" i="24"/>
  <c r="M171" i="24"/>
  <c r="M170" i="24"/>
  <c r="M169" i="24"/>
  <c r="M168" i="24"/>
  <c r="M167" i="24"/>
  <c r="M166" i="24"/>
  <c r="M165" i="24"/>
  <c r="M164" i="24"/>
  <c r="M163" i="24"/>
  <c r="K264" i="24"/>
  <c r="K263" i="24"/>
  <c r="K262" i="24"/>
  <c r="K261" i="24"/>
  <c r="K260" i="24"/>
  <c r="K259" i="24"/>
  <c r="K258" i="24"/>
  <c r="K257" i="24"/>
  <c r="K256" i="24"/>
  <c r="K255" i="24"/>
  <c r="K254" i="24"/>
  <c r="K253" i="24"/>
  <c r="K252" i="24"/>
  <c r="K251" i="24"/>
  <c r="K250" i="24"/>
  <c r="K249" i="24"/>
  <c r="K248" i="24"/>
  <c r="K247" i="24"/>
  <c r="K246" i="24"/>
  <c r="K245" i="24"/>
  <c r="K244" i="24"/>
  <c r="K243" i="24"/>
  <c r="K242" i="24"/>
  <c r="K241" i="24"/>
  <c r="K240" i="24"/>
  <c r="K239" i="24"/>
  <c r="K238" i="24"/>
  <c r="K237" i="24"/>
  <c r="K236" i="24"/>
  <c r="K235" i="24"/>
  <c r="K234" i="24"/>
  <c r="K233" i="24"/>
  <c r="K232" i="24"/>
  <c r="K231" i="24"/>
  <c r="K230" i="24"/>
  <c r="K229" i="24"/>
  <c r="K228" i="24"/>
  <c r="K227" i="24"/>
  <c r="K226" i="24"/>
  <c r="K225" i="24"/>
  <c r="K224" i="24"/>
  <c r="K223" i="24"/>
  <c r="K222" i="24"/>
  <c r="K221" i="24"/>
  <c r="K220" i="24"/>
  <c r="K219" i="24"/>
  <c r="K218" i="24"/>
  <c r="K217" i="24"/>
  <c r="K216" i="24"/>
  <c r="K215" i="24"/>
  <c r="K214" i="24"/>
  <c r="K213" i="24"/>
  <c r="K212" i="24"/>
  <c r="K211" i="24"/>
  <c r="K210" i="24"/>
  <c r="K209" i="24"/>
  <c r="K208" i="24"/>
  <c r="K207" i="24"/>
  <c r="K206" i="24"/>
  <c r="K205" i="24"/>
  <c r="K204" i="24"/>
  <c r="K203" i="24"/>
  <c r="K202" i="24"/>
  <c r="K201" i="24"/>
  <c r="K200" i="24"/>
  <c r="K199" i="24"/>
  <c r="K198" i="24"/>
  <c r="K197" i="24"/>
  <c r="K196" i="24"/>
  <c r="K195" i="24"/>
  <c r="K194" i="24"/>
  <c r="K193" i="24"/>
  <c r="K192" i="24"/>
  <c r="K191" i="24"/>
  <c r="K190" i="24"/>
  <c r="K189" i="24"/>
  <c r="K188" i="24"/>
  <c r="K187" i="24"/>
  <c r="K186" i="24"/>
  <c r="K185" i="24"/>
  <c r="K184" i="24"/>
  <c r="K183" i="24"/>
  <c r="K182" i="24"/>
  <c r="K181" i="24"/>
  <c r="K180" i="24"/>
  <c r="K179" i="24"/>
  <c r="K178" i="24"/>
  <c r="K177" i="24"/>
  <c r="K176" i="24"/>
  <c r="K175" i="24"/>
  <c r="K174" i="24"/>
  <c r="K173" i="24"/>
  <c r="K172" i="24"/>
  <c r="K171" i="24"/>
  <c r="K170" i="24"/>
  <c r="K169" i="24"/>
  <c r="K168" i="24"/>
  <c r="K167" i="24"/>
  <c r="K166" i="24"/>
  <c r="K165" i="24"/>
  <c r="K164" i="24"/>
  <c r="K163" i="24"/>
  <c r="K162" i="24"/>
  <c r="K161" i="24"/>
  <c r="K160" i="24"/>
  <c r="K148" i="24"/>
  <c r="K147" i="24"/>
  <c r="K146" i="24"/>
  <c r="K145" i="24"/>
  <c r="K144" i="24"/>
  <c r="K143" i="24"/>
  <c r="K142" i="24"/>
  <c r="K141" i="24"/>
  <c r="K140" i="24"/>
  <c r="K139" i="24"/>
  <c r="K138" i="24"/>
  <c r="K137" i="24"/>
  <c r="K136" i="24"/>
  <c r="K135" i="24"/>
  <c r="K134" i="24"/>
  <c r="K133" i="24"/>
  <c r="K132" i="24"/>
  <c r="K131" i="24"/>
  <c r="K130" i="24"/>
  <c r="K129" i="24"/>
  <c r="K128" i="24"/>
  <c r="K127" i="24"/>
  <c r="K126" i="24"/>
  <c r="K125" i="24"/>
  <c r="K124" i="24"/>
  <c r="K123" i="24"/>
  <c r="K122" i="24"/>
  <c r="K121" i="24"/>
  <c r="K120" i="24"/>
  <c r="K119" i="24"/>
  <c r="K118" i="24"/>
  <c r="K117" i="24"/>
  <c r="K116" i="24"/>
  <c r="K115" i="24"/>
  <c r="K114" i="24"/>
  <c r="K113" i="24"/>
  <c r="K112" i="24"/>
  <c r="K111" i="24"/>
  <c r="K110" i="24"/>
  <c r="K109" i="24"/>
  <c r="K108" i="24"/>
  <c r="K107" i="24"/>
  <c r="K106" i="24"/>
  <c r="K105" i="24"/>
  <c r="K104" i="24"/>
  <c r="K103" i="24"/>
  <c r="K102" i="24"/>
  <c r="K101" i="24"/>
  <c r="K100" i="24"/>
  <c r="K99" i="24"/>
  <c r="K98" i="24"/>
  <c r="K97" i="24"/>
  <c r="K96" i="24"/>
  <c r="K95" i="24"/>
  <c r="K94" i="24"/>
  <c r="K93" i="24"/>
  <c r="K92" i="24"/>
  <c r="K91" i="24"/>
  <c r="K90" i="24"/>
  <c r="K89" i="24"/>
  <c r="K88" i="24"/>
  <c r="K87" i="24"/>
  <c r="K86" i="24"/>
  <c r="K85" i="24"/>
  <c r="K84" i="24"/>
  <c r="K83" i="24"/>
  <c r="K82" i="24"/>
  <c r="K81" i="24"/>
  <c r="K80" i="24"/>
  <c r="K79" i="24"/>
  <c r="K78" i="24"/>
  <c r="K77" i="24"/>
  <c r="K76" i="24"/>
  <c r="K75" i="24"/>
  <c r="K74" i="24"/>
  <c r="K73" i="24"/>
  <c r="K72" i="24"/>
  <c r="K71" i="24"/>
  <c r="K70" i="24"/>
  <c r="K69" i="24"/>
  <c r="K68" i="24"/>
  <c r="K67" i="24"/>
  <c r="K66" i="24"/>
  <c r="K65" i="24"/>
  <c r="K64" i="24"/>
  <c r="K63" i="24"/>
  <c r="K62" i="24"/>
  <c r="K61" i="24"/>
  <c r="K60" i="24"/>
  <c r="K59" i="24"/>
  <c r="K58" i="24"/>
  <c r="K57" i="24"/>
  <c r="K56" i="24"/>
  <c r="K55" i="24"/>
  <c r="K54" i="24"/>
  <c r="K53" i="24"/>
  <c r="K52" i="24"/>
  <c r="K51" i="24"/>
  <c r="K50" i="24"/>
  <c r="K49" i="24"/>
  <c r="K48" i="24"/>
  <c r="K47" i="24"/>
  <c r="K46" i="24"/>
  <c r="K45" i="24"/>
  <c r="K44" i="24"/>
  <c r="J148" i="24"/>
  <c r="J147" i="24"/>
  <c r="J146" i="24"/>
  <c r="J145" i="24"/>
  <c r="J144" i="24"/>
  <c r="J143" i="24"/>
  <c r="J142" i="24"/>
  <c r="J141" i="24"/>
  <c r="J140" i="24"/>
  <c r="J139" i="24"/>
  <c r="J138" i="24"/>
  <c r="J137" i="24"/>
  <c r="J136" i="24"/>
  <c r="J135" i="24"/>
  <c r="J134" i="24"/>
  <c r="J133" i="24"/>
  <c r="J132" i="24"/>
  <c r="J131" i="24"/>
  <c r="J130" i="24"/>
  <c r="J129" i="24"/>
  <c r="J128" i="24"/>
  <c r="J127" i="24"/>
  <c r="J126" i="24"/>
  <c r="J125" i="24"/>
  <c r="J124" i="24"/>
  <c r="J123" i="24"/>
  <c r="J122" i="24"/>
  <c r="J121" i="24"/>
  <c r="J120" i="24"/>
  <c r="J119" i="24"/>
  <c r="J118" i="24"/>
  <c r="J117" i="24"/>
  <c r="J116" i="24"/>
  <c r="J115" i="24"/>
  <c r="J114" i="24"/>
  <c r="J113" i="24"/>
  <c r="J112" i="24"/>
  <c r="J111" i="24"/>
  <c r="J110" i="24"/>
  <c r="J109" i="24"/>
  <c r="J108" i="24"/>
  <c r="J107" i="24"/>
  <c r="J106" i="24"/>
  <c r="J105" i="24"/>
  <c r="J104" i="24"/>
  <c r="J103" i="24"/>
  <c r="J102" i="24"/>
  <c r="J101" i="24"/>
  <c r="J100" i="24"/>
  <c r="J99" i="24"/>
  <c r="J98" i="24"/>
  <c r="J97" i="24"/>
  <c r="J96" i="24"/>
  <c r="J95" i="24"/>
  <c r="J94" i="24"/>
  <c r="J93" i="24"/>
  <c r="J92" i="24"/>
  <c r="J91" i="24"/>
  <c r="J90" i="24"/>
  <c r="J89" i="24"/>
  <c r="J88" i="24"/>
  <c r="J87" i="24"/>
  <c r="J86" i="24"/>
  <c r="J85" i="24"/>
  <c r="J84" i="24"/>
  <c r="J83" i="24"/>
  <c r="J82" i="24"/>
  <c r="J81" i="24"/>
  <c r="J80" i="24"/>
  <c r="J79" i="24"/>
  <c r="J78" i="24"/>
  <c r="J77" i="24"/>
  <c r="J76" i="24"/>
  <c r="J75" i="24"/>
  <c r="J74" i="24"/>
  <c r="J73" i="24"/>
  <c r="J72" i="24"/>
  <c r="J71" i="24"/>
  <c r="J70" i="24"/>
  <c r="J69" i="24"/>
  <c r="J68" i="24"/>
  <c r="J67" i="24"/>
  <c r="J66" i="24"/>
  <c r="J65" i="24"/>
  <c r="J64" i="24"/>
  <c r="J63" i="24"/>
  <c r="J62" i="24"/>
  <c r="J61" i="24"/>
  <c r="J60" i="24"/>
  <c r="J59" i="24"/>
  <c r="J58" i="24"/>
  <c r="J57" i="24"/>
  <c r="J56" i="24"/>
  <c r="J55" i="24"/>
  <c r="J54" i="24"/>
  <c r="J53" i="24"/>
  <c r="J52" i="24"/>
  <c r="J51" i="24"/>
  <c r="J50" i="24"/>
  <c r="J49" i="24"/>
  <c r="J48" i="24"/>
  <c r="J47" i="24"/>
  <c r="J46" i="24"/>
  <c r="J45" i="24"/>
  <c r="J44" i="24"/>
  <c r="L48" i="24"/>
  <c r="I264" i="24"/>
  <c r="I263" i="24"/>
  <c r="I262" i="24"/>
  <c r="I261" i="24"/>
  <c r="I260" i="24"/>
  <c r="I259" i="24"/>
  <c r="I258" i="24"/>
  <c r="I257" i="24"/>
  <c r="I256" i="24"/>
  <c r="I255" i="24"/>
  <c r="I254" i="24"/>
  <c r="I253" i="24"/>
  <c r="I252" i="24"/>
  <c r="I251" i="24"/>
  <c r="I250" i="24"/>
  <c r="I249" i="24"/>
  <c r="I248" i="24"/>
  <c r="I247" i="24"/>
  <c r="I246" i="24"/>
  <c r="I245" i="24"/>
  <c r="I244" i="24"/>
  <c r="I243" i="24"/>
  <c r="I242" i="24"/>
  <c r="I241" i="24"/>
  <c r="I240" i="24"/>
  <c r="I239" i="24"/>
  <c r="I238" i="24"/>
  <c r="I237" i="24"/>
  <c r="I236" i="24"/>
  <c r="I235" i="24"/>
  <c r="I234" i="24"/>
  <c r="I233" i="24"/>
  <c r="I232" i="24"/>
  <c r="I231" i="24"/>
  <c r="I230" i="24"/>
  <c r="I229" i="24"/>
  <c r="I228" i="24"/>
  <c r="I227" i="24"/>
  <c r="I226" i="24"/>
  <c r="I225" i="24"/>
  <c r="I224" i="24"/>
  <c r="I223" i="24"/>
  <c r="I222" i="24"/>
  <c r="I221" i="24"/>
  <c r="I220" i="24"/>
  <c r="I219" i="24"/>
  <c r="I218" i="24"/>
  <c r="I217" i="24"/>
  <c r="I216" i="24"/>
  <c r="I215" i="24"/>
  <c r="I214" i="24"/>
  <c r="I213" i="24"/>
  <c r="I212" i="24"/>
  <c r="I211" i="24"/>
  <c r="I210" i="24"/>
  <c r="I209" i="24"/>
  <c r="I208" i="24"/>
  <c r="I207" i="24"/>
  <c r="I206" i="24"/>
  <c r="I205" i="24"/>
  <c r="I204" i="24"/>
  <c r="I203" i="24"/>
  <c r="I202" i="24"/>
  <c r="I201" i="24"/>
  <c r="I200" i="24"/>
  <c r="I199" i="24"/>
  <c r="I198" i="24"/>
  <c r="I197" i="24"/>
  <c r="I196" i="24"/>
  <c r="I195" i="24"/>
  <c r="I194" i="24"/>
  <c r="I193" i="24"/>
  <c r="I192" i="24"/>
  <c r="I191" i="24"/>
  <c r="I190" i="24"/>
  <c r="I189" i="24"/>
  <c r="I188" i="24"/>
  <c r="I187" i="24"/>
  <c r="I186" i="24"/>
  <c r="I185" i="24"/>
  <c r="I184" i="24"/>
  <c r="I183" i="24"/>
  <c r="I182" i="24"/>
  <c r="I181" i="24"/>
  <c r="I180" i="24"/>
  <c r="I179" i="24"/>
  <c r="I178" i="24"/>
  <c r="I177" i="24"/>
  <c r="I176" i="24"/>
  <c r="I175" i="24"/>
  <c r="I174" i="24"/>
  <c r="I173" i="24"/>
  <c r="I172" i="24"/>
  <c r="I171" i="24"/>
  <c r="I170" i="24"/>
  <c r="I169" i="24"/>
  <c r="I168" i="24"/>
  <c r="I167" i="24"/>
  <c r="I166" i="24"/>
  <c r="I165" i="24"/>
  <c r="I164" i="24"/>
  <c r="I163" i="24"/>
  <c r="I162" i="24"/>
  <c r="I161" i="24"/>
  <c r="I160" i="24"/>
  <c r="I148" i="24"/>
  <c r="I147" i="24"/>
  <c r="I146" i="24"/>
  <c r="I145" i="24"/>
  <c r="I144" i="24"/>
  <c r="I143" i="24"/>
  <c r="I142" i="24"/>
  <c r="I141" i="24"/>
  <c r="I140" i="24"/>
  <c r="I139" i="24"/>
  <c r="I138" i="24"/>
  <c r="I137" i="24"/>
  <c r="I136" i="24"/>
  <c r="I135" i="24"/>
  <c r="I134" i="24"/>
  <c r="I133" i="24"/>
  <c r="I132" i="24"/>
  <c r="I131" i="24"/>
  <c r="I130" i="24"/>
  <c r="I129" i="24"/>
  <c r="I128" i="24"/>
  <c r="I127" i="24"/>
  <c r="I126" i="24"/>
  <c r="I125" i="24"/>
  <c r="I124" i="24"/>
  <c r="I123" i="24"/>
  <c r="I122" i="24"/>
  <c r="I121" i="24"/>
  <c r="I120" i="24"/>
  <c r="I119" i="24"/>
  <c r="I118" i="24"/>
  <c r="I117" i="24"/>
  <c r="I116" i="24"/>
  <c r="I115" i="24"/>
  <c r="I114" i="24"/>
  <c r="I113" i="24"/>
  <c r="I112" i="24"/>
  <c r="I111" i="24"/>
  <c r="I110" i="24"/>
  <c r="I109" i="24"/>
  <c r="I108" i="24"/>
  <c r="I107" i="24"/>
  <c r="I106" i="24"/>
  <c r="I105" i="24"/>
  <c r="I104" i="24"/>
  <c r="I103" i="24"/>
  <c r="I102" i="24"/>
  <c r="I101" i="24"/>
  <c r="I100" i="24"/>
  <c r="I99" i="24"/>
  <c r="I98" i="24"/>
  <c r="I97" i="24"/>
  <c r="I96" i="24"/>
  <c r="I95" i="24"/>
  <c r="I94" i="24"/>
  <c r="I93" i="24"/>
  <c r="I92" i="24"/>
  <c r="I91" i="24"/>
  <c r="I90" i="24"/>
  <c r="I89" i="24"/>
  <c r="I88" i="24"/>
  <c r="I87" i="24"/>
  <c r="I86" i="24"/>
  <c r="I85" i="24"/>
  <c r="I84" i="24"/>
  <c r="I83" i="24"/>
  <c r="I82" i="24"/>
  <c r="I81" i="24"/>
  <c r="I80" i="24"/>
  <c r="I79" i="24"/>
  <c r="I78" i="24"/>
  <c r="I77" i="24"/>
  <c r="I76" i="24"/>
  <c r="I75" i="24"/>
  <c r="I74" i="24"/>
  <c r="I73" i="24"/>
  <c r="I72" i="24"/>
  <c r="I71" i="24"/>
  <c r="I70" i="24"/>
  <c r="I69" i="24"/>
  <c r="I68" i="24"/>
  <c r="I67" i="24"/>
  <c r="I66" i="24"/>
  <c r="I65" i="24"/>
  <c r="I64" i="24"/>
  <c r="I63" i="24"/>
  <c r="I62" i="24"/>
  <c r="I61" i="24"/>
  <c r="I60" i="24"/>
  <c r="I59" i="24"/>
  <c r="I58" i="24"/>
  <c r="I57" i="24"/>
  <c r="I56" i="24"/>
  <c r="I55" i="24"/>
  <c r="I54" i="24"/>
  <c r="I53" i="24"/>
  <c r="I52" i="24"/>
  <c r="I51" i="24"/>
  <c r="I50" i="24"/>
  <c r="I49" i="24"/>
  <c r="I48" i="24"/>
  <c r="I47" i="24"/>
  <c r="I46" i="24"/>
  <c r="I45" i="24"/>
  <c r="I44" i="24"/>
  <c r="O148" i="24"/>
  <c r="O147" i="24"/>
  <c r="O146" i="24"/>
  <c r="O145" i="24"/>
  <c r="O144" i="24"/>
  <c r="O143" i="24"/>
  <c r="O142" i="24"/>
  <c r="O141" i="24"/>
  <c r="O140" i="24"/>
  <c r="O139" i="24"/>
  <c r="O138" i="24"/>
  <c r="O137" i="24"/>
  <c r="O136" i="24"/>
  <c r="O135" i="24"/>
  <c r="O134" i="24"/>
  <c r="O133" i="24"/>
  <c r="O132" i="24"/>
  <c r="O131" i="24"/>
  <c r="O130" i="24"/>
  <c r="O129" i="24"/>
  <c r="O128" i="24"/>
  <c r="O127" i="24"/>
  <c r="O126" i="24"/>
  <c r="O125" i="24"/>
  <c r="O124" i="24"/>
  <c r="O123" i="24"/>
  <c r="O122" i="24"/>
  <c r="O121" i="24"/>
  <c r="O120" i="24"/>
  <c r="O119" i="24"/>
  <c r="O118" i="24"/>
  <c r="O117" i="24"/>
  <c r="O116" i="24"/>
  <c r="O115" i="24"/>
  <c r="O114" i="24"/>
  <c r="O113" i="24"/>
  <c r="O112" i="24"/>
  <c r="O111" i="24"/>
  <c r="O110" i="24"/>
  <c r="O109" i="24"/>
  <c r="O108" i="24"/>
  <c r="O107" i="24"/>
  <c r="O106" i="24"/>
  <c r="O105" i="24"/>
  <c r="O104" i="24"/>
  <c r="O103" i="24"/>
  <c r="O102" i="24"/>
  <c r="O101" i="24"/>
  <c r="O100" i="24"/>
  <c r="O99" i="24"/>
  <c r="O98" i="24"/>
  <c r="O97" i="24"/>
  <c r="O96" i="24"/>
  <c r="O95" i="24"/>
  <c r="O94" i="24"/>
  <c r="O93" i="24"/>
  <c r="O92" i="24"/>
  <c r="O91" i="24"/>
  <c r="O90" i="24"/>
  <c r="O89" i="24"/>
  <c r="O88" i="24"/>
  <c r="O87" i="24"/>
  <c r="O86" i="24"/>
  <c r="O85" i="24"/>
  <c r="O84" i="24"/>
  <c r="O83" i="24"/>
  <c r="O82" i="24"/>
  <c r="O81" i="24"/>
  <c r="O80" i="24"/>
  <c r="O79" i="24"/>
  <c r="O78" i="24"/>
  <c r="O77" i="24"/>
  <c r="O76" i="24"/>
  <c r="O75" i="24"/>
  <c r="O74" i="24"/>
  <c r="O73" i="24"/>
  <c r="O72" i="24"/>
  <c r="O71" i="24"/>
  <c r="O70" i="24"/>
  <c r="O69" i="24"/>
  <c r="O68" i="24"/>
  <c r="O67" i="24"/>
  <c r="O66" i="24"/>
  <c r="O65" i="24"/>
  <c r="O64" i="24"/>
  <c r="O63" i="24"/>
  <c r="O62" i="24"/>
  <c r="O61" i="24"/>
  <c r="O60" i="24"/>
  <c r="O59" i="24"/>
  <c r="O58" i="24"/>
  <c r="O57" i="24"/>
  <c r="O56" i="24"/>
  <c r="O55" i="24"/>
  <c r="O54" i="24"/>
  <c r="O53" i="24"/>
  <c r="O52" i="24"/>
  <c r="O51" i="24"/>
  <c r="O50" i="24"/>
  <c r="O49" i="24"/>
  <c r="O48" i="24"/>
  <c r="O47" i="24"/>
  <c r="N148" i="24"/>
  <c r="N147" i="24"/>
  <c r="N146" i="24"/>
  <c r="N145" i="24"/>
  <c r="N144" i="24"/>
  <c r="N143" i="24"/>
  <c r="N142" i="24"/>
  <c r="N141" i="24"/>
  <c r="N140" i="24"/>
  <c r="N139" i="24"/>
  <c r="N138" i="24"/>
  <c r="N137" i="24"/>
  <c r="N136" i="24"/>
  <c r="N135" i="24"/>
  <c r="N134" i="24"/>
  <c r="N133" i="24"/>
  <c r="N132" i="24"/>
  <c r="N131" i="24"/>
  <c r="N130" i="24"/>
  <c r="N129" i="24"/>
  <c r="N128" i="24"/>
  <c r="N127" i="24"/>
  <c r="N126" i="24"/>
  <c r="N125" i="24"/>
  <c r="N124" i="24"/>
  <c r="N123" i="24"/>
  <c r="N122" i="24"/>
  <c r="N121" i="24"/>
  <c r="N120" i="24"/>
  <c r="N119" i="24"/>
  <c r="N118" i="24"/>
  <c r="N117" i="24"/>
  <c r="N116" i="24"/>
  <c r="N115" i="24"/>
  <c r="N114" i="24"/>
  <c r="N113" i="24"/>
  <c r="N112" i="24"/>
  <c r="N111" i="24"/>
  <c r="N110" i="24"/>
  <c r="N109" i="24"/>
  <c r="N108" i="24"/>
  <c r="N107" i="24"/>
  <c r="N106" i="24"/>
  <c r="N105" i="24"/>
  <c r="N104" i="24"/>
  <c r="N103" i="24"/>
  <c r="N102" i="24"/>
  <c r="N101" i="24"/>
  <c r="N100" i="24"/>
  <c r="N99" i="24"/>
  <c r="N98" i="24"/>
  <c r="N97" i="24"/>
  <c r="N96" i="24"/>
  <c r="N95" i="24"/>
  <c r="N94" i="24"/>
  <c r="N93" i="24"/>
  <c r="N92" i="24"/>
  <c r="N91" i="24"/>
  <c r="N90" i="24"/>
  <c r="N89" i="24"/>
  <c r="N88" i="24"/>
  <c r="N87" i="24"/>
  <c r="N86" i="24"/>
  <c r="N85" i="24"/>
  <c r="N84" i="24"/>
  <c r="N83" i="24"/>
  <c r="N82" i="24"/>
  <c r="N81" i="24"/>
  <c r="N80" i="24"/>
  <c r="N79" i="24"/>
  <c r="N78" i="24"/>
  <c r="N77" i="24"/>
  <c r="N76" i="24"/>
  <c r="N75" i="24"/>
  <c r="N74" i="24"/>
  <c r="N73" i="24"/>
  <c r="N72" i="24"/>
  <c r="N71" i="24"/>
  <c r="N70" i="24"/>
  <c r="N69" i="24"/>
  <c r="N68" i="24"/>
  <c r="N67" i="24"/>
  <c r="N66" i="24"/>
  <c r="N65" i="24"/>
  <c r="N64" i="24"/>
  <c r="N63" i="24"/>
  <c r="N62" i="24"/>
  <c r="N61" i="24"/>
  <c r="N60" i="24"/>
  <c r="N59" i="24"/>
  <c r="N58" i="24"/>
  <c r="N57" i="24"/>
  <c r="N56" i="24"/>
  <c r="N55" i="24"/>
  <c r="N54" i="24"/>
  <c r="N53" i="24"/>
  <c r="N52" i="24"/>
  <c r="N51" i="24"/>
  <c r="N50" i="24"/>
  <c r="N49" i="24"/>
  <c r="N48" i="24"/>
  <c r="N47" i="24"/>
  <c r="M148" i="24"/>
  <c r="M147" i="24"/>
  <c r="M146" i="24"/>
  <c r="M145" i="24"/>
  <c r="M144" i="24"/>
  <c r="M143" i="24"/>
  <c r="M142" i="24"/>
  <c r="M141" i="24"/>
  <c r="M140" i="24"/>
  <c r="M139" i="24"/>
  <c r="M138" i="24"/>
  <c r="M137" i="24"/>
  <c r="M136" i="24"/>
  <c r="M135" i="24"/>
  <c r="M134" i="24"/>
  <c r="M133" i="24"/>
  <c r="M132" i="24"/>
  <c r="M131" i="24"/>
  <c r="M130" i="24"/>
  <c r="M129" i="24"/>
  <c r="M128" i="24"/>
  <c r="M127" i="24"/>
  <c r="M126" i="24"/>
  <c r="M125" i="24"/>
  <c r="M124" i="24"/>
  <c r="M123" i="24"/>
  <c r="M122" i="24"/>
  <c r="M121" i="24"/>
  <c r="M120" i="24"/>
  <c r="M119" i="24"/>
  <c r="M118" i="24"/>
  <c r="M117" i="24"/>
  <c r="M116" i="24"/>
  <c r="M115" i="24"/>
  <c r="M114" i="24"/>
  <c r="M113" i="24"/>
  <c r="M112" i="24"/>
  <c r="M111" i="24"/>
  <c r="M110" i="24"/>
  <c r="M109" i="24"/>
  <c r="M108" i="24"/>
  <c r="M107" i="24"/>
  <c r="M106" i="24"/>
  <c r="M105" i="24"/>
  <c r="M104" i="24"/>
  <c r="M103" i="24"/>
  <c r="M102" i="24"/>
  <c r="M101" i="24"/>
  <c r="M100" i="24"/>
  <c r="M99" i="24"/>
  <c r="M98" i="24"/>
  <c r="M97" i="24"/>
  <c r="M96" i="24"/>
  <c r="M95" i="24"/>
  <c r="M94" i="24"/>
  <c r="M93" i="24"/>
  <c r="M92" i="24"/>
  <c r="M91" i="24"/>
  <c r="M90" i="24"/>
  <c r="M89" i="24"/>
  <c r="M88" i="24"/>
  <c r="M87" i="24"/>
  <c r="M86" i="24"/>
  <c r="M85" i="24"/>
  <c r="M84" i="24"/>
  <c r="M83" i="24"/>
  <c r="M82" i="24"/>
  <c r="M81" i="24"/>
  <c r="M80" i="24"/>
  <c r="M79" i="24"/>
  <c r="M78" i="24"/>
  <c r="M77" i="24"/>
  <c r="M76" i="24"/>
  <c r="M75" i="24"/>
  <c r="M74" i="24"/>
  <c r="M73" i="24"/>
  <c r="M72" i="24"/>
  <c r="M71" i="24"/>
  <c r="M70" i="24"/>
  <c r="M69" i="24"/>
  <c r="M68" i="24"/>
  <c r="M67" i="24"/>
  <c r="M66" i="24"/>
  <c r="M65" i="24"/>
  <c r="M64" i="24"/>
  <c r="M63" i="24"/>
  <c r="M62" i="24"/>
  <c r="M61" i="24"/>
  <c r="M60" i="24"/>
  <c r="M59" i="24"/>
  <c r="M58" i="24"/>
  <c r="M57" i="24"/>
  <c r="M56" i="24"/>
  <c r="M55" i="24"/>
  <c r="M54" i="24"/>
  <c r="M53" i="24"/>
  <c r="M52" i="24"/>
  <c r="M51" i="24"/>
  <c r="M50" i="24"/>
  <c r="M49" i="24"/>
  <c r="M48" i="24"/>
  <c r="M47" i="24"/>
  <c r="L264" i="24"/>
  <c r="L263" i="24"/>
  <c r="L262" i="24"/>
  <c r="L261" i="24"/>
  <c r="L260" i="24"/>
  <c r="L259" i="24"/>
  <c r="L258" i="24"/>
  <c r="L257" i="24"/>
  <c r="L256" i="24"/>
  <c r="L255" i="24"/>
  <c r="L254" i="24"/>
  <c r="L253" i="24"/>
  <c r="L252" i="24"/>
  <c r="L251" i="24"/>
  <c r="L250" i="24"/>
  <c r="L249" i="24"/>
  <c r="L248" i="24"/>
  <c r="L247" i="24"/>
  <c r="L246" i="24"/>
  <c r="L245" i="24"/>
  <c r="L244" i="24"/>
  <c r="L243" i="24"/>
  <c r="L242" i="24"/>
  <c r="L241" i="24"/>
  <c r="L240" i="24"/>
  <c r="L239" i="24"/>
  <c r="L238" i="24"/>
  <c r="L237" i="24"/>
  <c r="L236" i="24"/>
  <c r="L235" i="24"/>
  <c r="L234" i="24"/>
  <c r="L233" i="24"/>
  <c r="L232" i="24"/>
  <c r="L231" i="24"/>
  <c r="L230" i="24"/>
  <c r="L229" i="24"/>
  <c r="L228" i="24"/>
  <c r="L227" i="24"/>
  <c r="L226" i="24"/>
  <c r="L225" i="24"/>
  <c r="L224" i="24"/>
  <c r="L223" i="24"/>
  <c r="L222" i="24"/>
  <c r="L221" i="24"/>
  <c r="L220" i="24"/>
  <c r="L219" i="24"/>
  <c r="L218" i="24"/>
  <c r="L217" i="24"/>
  <c r="L216" i="24"/>
  <c r="L215" i="24"/>
  <c r="L214" i="24"/>
  <c r="L213" i="24"/>
  <c r="L212" i="24"/>
  <c r="L211" i="24"/>
  <c r="L210" i="24"/>
  <c r="L209" i="24"/>
  <c r="L208" i="24"/>
  <c r="L207" i="24"/>
  <c r="L206" i="24"/>
  <c r="L205" i="24"/>
  <c r="L204" i="24"/>
  <c r="L203" i="24"/>
  <c r="L202" i="24"/>
  <c r="L201" i="24"/>
  <c r="L200" i="24"/>
  <c r="L199" i="24"/>
  <c r="L198" i="24"/>
  <c r="L197" i="24"/>
  <c r="L196" i="24"/>
  <c r="L195" i="24"/>
  <c r="L194" i="24"/>
  <c r="L193" i="24"/>
  <c r="L192" i="24"/>
  <c r="L191" i="24"/>
  <c r="L190" i="24"/>
  <c r="L189" i="24"/>
  <c r="L188" i="24"/>
  <c r="L187" i="24"/>
  <c r="L186" i="24"/>
  <c r="L185" i="24"/>
  <c r="L184" i="24"/>
  <c r="L183" i="24"/>
  <c r="L182" i="24"/>
  <c r="L181" i="24"/>
  <c r="L180" i="24"/>
  <c r="L179" i="24"/>
  <c r="L178" i="24"/>
  <c r="L177" i="24"/>
  <c r="L176" i="24"/>
  <c r="L175" i="24"/>
  <c r="L174" i="24"/>
  <c r="L173" i="24"/>
  <c r="L172" i="24"/>
  <c r="L171" i="24"/>
  <c r="L170" i="24"/>
  <c r="L169" i="24"/>
  <c r="L168" i="24"/>
  <c r="L167" i="24"/>
  <c r="L166" i="24"/>
  <c r="L165" i="24"/>
  <c r="L164" i="24"/>
  <c r="L163" i="24"/>
  <c r="L148" i="24"/>
  <c r="L147" i="24"/>
  <c r="L146" i="24"/>
  <c r="L145" i="24"/>
  <c r="L144" i="24"/>
  <c r="L143" i="24"/>
  <c r="L142" i="24"/>
  <c r="L141" i="24"/>
  <c r="L140" i="24"/>
  <c r="L139" i="24"/>
  <c r="L138" i="24"/>
  <c r="L137" i="24"/>
  <c r="L136" i="24"/>
  <c r="L135" i="24"/>
  <c r="L134" i="24"/>
  <c r="L133" i="24"/>
  <c r="L132" i="24"/>
  <c r="L131" i="24"/>
  <c r="L130" i="24"/>
  <c r="L129" i="24"/>
  <c r="L128" i="24"/>
  <c r="L127" i="24"/>
  <c r="L126" i="24"/>
  <c r="L125" i="24"/>
  <c r="L124" i="24"/>
  <c r="L123" i="24"/>
  <c r="L122" i="24"/>
  <c r="L121" i="24"/>
  <c r="L120" i="24"/>
  <c r="L119" i="24"/>
  <c r="L118" i="24"/>
  <c r="L117" i="24"/>
  <c r="L116" i="24"/>
  <c r="L115" i="24"/>
  <c r="L114" i="24"/>
  <c r="L113" i="24"/>
  <c r="L112" i="24"/>
  <c r="L111" i="24"/>
  <c r="L110" i="24"/>
  <c r="L109" i="24"/>
  <c r="L108" i="24"/>
  <c r="L107" i="24"/>
  <c r="L106" i="24"/>
  <c r="L105" i="24"/>
  <c r="L104" i="24"/>
  <c r="L103" i="24"/>
  <c r="L102" i="24"/>
  <c r="L101" i="24"/>
  <c r="L100" i="24"/>
  <c r="L99" i="24"/>
  <c r="L98" i="24"/>
  <c r="L97" i="24"/>
  <c r="L96" i="24"/>
  <c r="L95" i="24"/>
  <c r="L94" i="24"/>
  <c r="L93" i="24"/>
  <c r="L92" i="24"/>
  <c r="L91" i="24"/>
  <c r="L90" i="24"/>
  <c r="L89" i="24"/>
  <c r="L88" i="24"/>
  <c r="L87" i="24"/>
  <c r="L86" i="24"/>
  <c r="L85" i="24"/>
  <c r="L84" i="24"/>
  <c r="L83" i="24"/>
  <c r="L82" i="24"/>
  <c r="L81" i="24"/>
  <c r="L80" i="24"/>
  <c r="L79" i="24"/>
  <c r="L78" i="24"/>
  <c r="L77" i="24"/>
  <c r="L76" i="24"/>
  <c r="L75" i="24"/>
  <c r="L74" i="24"/>
  <c r="L73" i="24"/>
  <c r="L72" i="24"/>
  <c r="L71" i="24"/>
  <c r="L70" i="24"/>
  <c r="L69" i="24"/>
  <c r="L68" i="24"/>
  <c r="L67" i="24"/>
  <c r="L66" i="24"/>
  <c r="L65" i="24"/>
  <c r="L64" i="24"/>
  <c r="L63" i="24"/>
  <c r="L62" i="24"/>
  <c r="L61" i="24"/>
  <c r="L60" i="24"/>
  <c r="L59" i="24"/>
  <c r="L58" i="24"/>
  <c r="L57" i="24"/>
  <c r="L56" i="24"/>
  <c r="L55" i="24"/>
  <c r="L54" i="24"/>
  <c r="L53" i="24"/>
  <c r="L52" i="24"/>
  <c r="L51" i="24"/>
  <c r="L50" i="24"/>
  <c r="L49" i="24"/>
  <c r="L47" i="24"/>
  <c r="M162" i="24"/>
  <c r="M161" i="24"/>
  <c r="M160" i="24"/>
  <c r="M44" i="24"/>
  <c r="N44" i="24"/>
  <c r="O44" i="24"/>
  <c r="M45" i="24"/>
  <c r="N45" i="24"/>
  <c r="O45" i="24"/>
  <c r="M46" i="24"/>
  <c r="N46" i="24"/>
  <c r="O46" i="24"/>
  <c r="L46" i="24"/>
  <c r="L45" i="24"/>
  <c r="L44" i="24"/>
  <c r="O9" i="36"/>
  <c r="I26" i="38"/>
  <c r="I29" i="38"/>
  <c r="J29" i="38"/>
  <c r="K29" i="38"/>
  <c r="L29" i="38"/>
  <c r="H29" i="38"/>
  <c r="H26" i="38"/>
  <c r="I18" i="38"/>
  <c r="J18" i="38"/>
  <c r="K18" i="38"/>
  <c r="L18" i="38"/>
  <c r="I19" i="38"/>
  <c r="J19" i="38"/>
  <c r="K19" i="38"/>
  <c r="L19" i="38"/>
  <c r="H19" i="38"/>
  <c r="H18" i="38"/>
  <c r="J26" i="44"/>
  <c r="I26" i="44"/>
  <c r="K17" i="18"/>
  <c r="L17" i="18"/>
  <c r="M17" i="18"/>
  <c r="N17" i="18"/>
  <c r="K18" i="18"/>
  <c r="L18" i="18"/>
  <c r="M18" i="18"/>
  <c r="N18" i="18"/>
  <c r="I230" i="18"/>
  <c r="I229" i="18"/>
  <c r="G23" i="31"/>
  <c r="J229" i="18"/>
  <c r="K17" i="35"/>
  <c r="K16" i="35"/>
  <c r="K15" i="35"/>
  <c r="I17" i="18"/>
  <c r="I18" i="18"/>
  <c r="I15" i="18"/>
  <c r="M33" i="35"/>
  <c r="N33" i="35"/>
  <c r="O33" i="35"/>
  <c r="G21" i="22" l="1"/>
  <c r="G20" i="22"/>
  <c r="L33" i="35" l="1"/>
  <c r="L162" i="24"/>
  <c r="L161" i="24"/>
  <c r="L160" i="24"/>
  <c r="L17" i="35"/>
  <c r="J18" i="18"/>
  <c r="L16" i="35"/>
  <c r="J17" i="18"/>
  <c r="L15" i="35"/>
  <c r="J15" i="18"/>
  <c r="S170" i="54"/>
  <c r="S169" i="54"/>
  <c r="S168" i="54"/>
  <c r="S167" i="54"/>
  <c r="S166" i="54"/>
  <c r="S165" i="54"/>
  <c r="S164" i="54"/>
  <c r="S163" i="54"/>
  <c r="S162" i="54"/>
  <c r="S161" i="54"/>
  <c r="S160" i="54"/>
  <c r="S159" i="54"/>
  <c r="S158" i="54"/>
  <c r="S157" i="54"/>
  <c r="S156" i="54"/>
  <c r="S155" i="54"/>
  <c r="S154" i="54"/>
  <c r="S153" i="54"/>
  <c r="S152" i="54"/>
  <c r="S151" i="54"/>
  <c r="S150" i="54"/>
  <c r="S149" i="54"/>
  <c r="S148" i="54"/>
  <c r="S147" i="54"/>
  <c r="S146" i="54"/>
  <c r="K16" i="24" l="1"/>
  <c r="H59" i="22"/>
  <c r="H57" i="22"/>
  <c r="G59" i="22"/>
  <c r="G57" i="22"/>
  <c r="I52" i="22" l="1"/>
  <c r="I51" i="22"/>
  <c r="I50" i="22"/>
  <c r="H44" i="22"/>
  <c r="I15" i="53"/>
  <c r="P16" i="53"/>
  <c r="P17" i="53"/>
  <c r="P18" i="53"/>
  <c r="P19" i="53"/>
  <c r="P20" i="53"/>
  <c r="P21" i="53"/>
  <c r="P22" i="53"/>
  <c r="P23" i="53"/>
  <c r="P24" i="53"/>
  <c r="P25" i="53"/>
  <c r="P26" i="53"/>
  <c r="P27" i="53"/>
  <c r="P28" i="53"/>
  <c r="P29" i="53"/>
  <c r="P30" i="53"/>
  <c r="P31" i="53"/>
  <c r="P32" i="53"/>
  <c r="P33" i="53"/>
  <c r="P34" i="53"/>
  <c r="P35" i="53"/>
  <c r="P36" i="53"/>
  <c r="P37" i="53"/>
  <c r="P38" i="53"/>
  <c r="P39" i="53"/>
  <c r="P40" i="53"/>
  <c r="P41" i="53"/>
  <c r="P42" i="53"/>
  <c r="P43" i="53"/>
  <c r="P44" i="53"/>
  <c r="P45" i="53"/>
  <c r="P46" i="53"/>
  <c r="P47" i="53"/>
  <c r="P48" i="53"/>
  <c r="P49" i="53"/>
  <c r="P50" i="53"/>
  <c r="P51" i="53"/>
  <c r="P52" i="53"/>
  <c r="P53" i="53"/>
  <c r="P54" i="53"/>
  <c r="P55" i="53"/>
  <c r="P56" i="53"/>
  <c r="P57" i="53"/>
  <c r="P58" i="53"/>
  <c r="P59" i="53"/>
  <c r="P60" i="53"/>
  <c r="P61" i="53"/>
  <c r="P62" i="53"/>
  <c r="P63" i="53"/>
  <c r="P64" i="53"/>
  <c r="P65" i="53"/>
  <c r="P66" i="53"/>
  <c r="P67" i="53"/>
  <c r="P68" i="53"/>
  <c r="P69" i="53"/>
  <c r="P70" i="53"/>
  <c r="P71" i="53"/>
  <c r="P72" i="53"/>
  <c r="P73" i="53"/>
  <c r="P74" i="53"/>
  <c r="P75" i="53"/>
  <c r="P76" i="53"/>
  <c r="P77" i="53"/>
  <c r="P78" i="53"/>
  <c r="P79" i="53"/>
  <c r="P80" i="53"/>
  <c r="P81" i="53"/>
  <c r="P82" i="53"/>
  <c r="P83" i="53"/>
  <c r="P84" i="53"/>
  <c r="P85" i="53"/>
  <c r="P86" i="53"/>
  <c r="P87" i="53"/>
  <c r="P88" i="53"/>
  <c r="P89" i="53"/>
  <c r="P90" i="53"/>
  <c r="P91" i="53"/>
  <c r="P92" i="53"/>
  <c r="P93" i="53"/>
  <c r="P94" i="53"/>
  <c r="P95" i="53"/>
  <c r="P96" i="53"/>
  <c r="P97" i="53"/>
  <c r="P98" i="53"/>
  <c r="P99" i="53"/>
  <c r="P100" i="53"/>
  <c r="P101" i="53"/>
  <c r="P102" i="53"/>
  <c r="P103" i="53"/>
  <c r="P104" i="53"/>
  <c r="P105" i="53"/>
  <c r="P106" i="53"/>
  <c r="P107" i="53"/>
  <c r="P108" i="53"/>
  <c r="P109" i="53"/>
  <c r="P110" i="53"/>
  <c r="P111" i="53"/>
  <c r="P112" i="53"/>
  <c r="P113" i="53"/>
  <c r="P114" i="53"/>
  <c r="P115" i="53"/>
  <c r="P116" i="53"/>
  <c r="P117" i="53"/>
  <c r="P118" i="53"/>
  <c r="P119" i="53"/>
  <c r="P120" i="53"/>
  <c r="P121" i="53"/>
  <c r="P122" i="53"/>
  <c r="P123" i="53"/>
  <c r="P124" i="53"/>
  <c r="P125" i="53"/>
  <c r="P126" i="53"/>
  <c r="P127" i="53"/>
  <c r="P128" i="53"/>
  <c r="P129" i="53"/>
  <c r="P130" i="53"/>
  <c r="P131" i="53"/>
  <c r="P132" i="53"/>
  <c r="P133" i="53"/>
  <c r="P134" i="53"/>
  <c r="P135" i="53"/>
  <c r="P136" i="53"/>
  <c r="P137" i="53"/>
  <c r="P138" i="53"/>
  <c r="P139" i="53"/>
  <c r="P15" i="53"/>
  <c r="I13" i="44"/>
  <c r="H13" i="44"/>
  <c r="J15" i="53" l="1"/>
  <c r="H15" i="43" s="1"/>
  <c r="G15" i="43"/>
  <c r="Q15" i="53"/>
  <c r="AA15" i="43" l="1"/>
  <c r="K15" i="53"/>
  <c r="I15" i="43" s="1"/>
  <c r="N15" i="43"/>
  <c r="L15" i="53" l="1"/>
  <c r="J15" i="43" s="1"/>
  <c r="M15" i="53"/>
  <c r="K15" i="43" s="1"/>
  <c r="N15" i="53" l="1"/>
  <c r="L15" i="43" l="1"/>
  <c r="H27" i="22" l="1"/>
  <c r="I27" i="22"/>
  <c r="J27" i="22"/>
  <c r="K27" i="22"/>
  <c r="G27" i="22"/>
  <c r="F27" i="22"/>
  <c r="F28" i="22" s="1"/>
  <c r="E27" i="22"/>
  <c r="E28" i="22" s="1"/>
  <c r="G88" i="31" l="1"/>
  <c r="G87" i="31"/>
  <c r="G86" i="31"/>
  <c r="G85" i="31"/>
  <c r="T10" i="43" l="1"/>
  <c r="U10" i="43"/>
  <c r="V10" i="43"/>
  <c r="W10" i="43"/>
  <c r="X10" i="43"/>
  <c r="N10" i="43"/>
  <c r="O10" i="43"/>
  <c r="P10" i="43"/>
  <c r="Q10" i="43"/>
  <c r="R10" i="43"/>
  <c r="U62" i="54"/>
  <c r="K113" i="54"/>
  <c r="J113" i="54"/>
  <c r="I113" i="54"/>
  <c r="H113" i="54"/>
  <c r="G113" i="54"/>
  <c r="F113" i="54"/>
  <c r="E113" i="54"/>
  <c r="D113" i="54"/>
  <c r="C113" i="54"/>
  <c r="J112" i="54"/>
  <c r="I112" i="54"/>
  <c r="H112" i="54"/>
  <c r="G112" i="54"/>
  <c r="F112" i="54"/>
  <c r="E112" i="54"/>
  <c r="D112" i="54"/>
  <c r="C112" i="54"/>
  <c r="K111" i="54"/>
  <c r="J111" i="54"/>
  <c r="I111" i="54"/>
  <c r="H111" i="54"/>
  <c r="G111" i="54"/>
  <c r="F111" i="54"/>
  <c r="E111" i="54"/>
  <c r="D111" i="54"/>
  <c r="C111" i="54"/>
  <c r="N110" i="54"/>
  <c r="U110" i="54" s="1"/>
  <c r="M110" i="54"/>
  <c r="L110" i="54"/>
  <c r="K110" i="54"/>
  <c r="J110" i="54"/>
  <c r="I110" i="54"/>
  <c r="H110" i="54"/>
  <c r="G110" i="54"/>
  <c r="F110" i="54"/>
  <c r="E110" i="54"/>
  <c r="D110" i="54"/>
  <c r="C110" i="54"/>
  <c r="N109" i="54"/>
  <c r="M109" i="54"/>
  <c r="J29" i="28" s="1"/>
  <c r="L109" i="54"/>
  <c r="K109" i="54"/>
  <c r="J109" i="54"/>
  <c r="I109" i="54"/>
  <c r="H109" i="54"/>
  <c r="G109" i="54"/>
  <c r="F109" i="54"/>
  <c r="E109" i="54"/>
  <c r="D109" i="54"/>
  <c r="C109" i="54"/>
  <c r="N108" i="54"/>
  <c r="M108" i="54"/>
  <c r="I29" i="28" s="1"/>
  <c r="L108" i="54"/>
  <c r="K108" i="54"/>
  <c r="J108" i="54"/>
  <c r="I108" i="54"/>
  <c r="H108" i="54"/>
  <c r="G108" i="54"/>
  <c r="F108" i="54"/>
  <c r="E108" i="54"/>
  <c r="D108" i="54"/>
  <c r="C108" i="54"/>
  <c r="M107" i="54"/>
  <c r="L107" i="54"/>
  <c r="K107" i="54"/>
  <c r="J107" i="54"/>
  <c r="I107" i="54"/>
  <c r="H107" i="54"/>
  <c r="G107" i="54"/>
  <c r="F107" i="54"/>
  <c r="E107" i="54"/>
  <c r="D107" i="54"/>
  <c r="C107" i="54"/>
  <c r="O106" i="54"/>
  <c r="N106" i="54"/>
  <c r="M106" i="54"/>
  <c r="G29" i="28" s="1"/>
  <c r="L106" i="54"/>
  <c r="K106" i="54"/>
  <c r="J106" i="54"/>
  <c r="I106" i="54"/>
  <c r="H106" i="54"/>
  <c r="G106" i="54"/>
  <c r="F106" i="54"/>
  <c r="E106" i="54"/>
  <c r="D106" i="54"/>
  <c r="C106" i="54"/>
  <c r="R105" i="54"/>
  <c r="Q105" i="54"/>
  <c r="P105" i="54"/>
  <c r="O105" i="54"/>
  <c r="N105" i="54"/>
  <c r="M105" i="54"/>
  <c r="L105" i="54"/>
  <c r="K105" i="54"/>
  <c r="J105" i="54"/>
  <c r="I105" i="54"/>
  <c r="H105" i="54"/>
  <c r="G105" i="54"/>
  <c r="F105" i="54"/>
  <c r="E105" i="54"/>
  <c r="D105" i="54"/>
  <c r="C105" i="54"/>
  <c r="R104" i="54"/>
  <c r="Q104" i="54"/>
  <c r="P104" i="54"/>
  <c r="O104" i="54"/>
  <c r="N104" i="54"/>
  <c r="M104" i="54"/>
  <c r="L104" i="54"/>
  <c r="K104" i="54"/>
  <c r="J104" i="54"/>
  <c r="I104" i="54"/>
  <c r="H104" i="54"/>
  <c r="G104" i="54"/>
  <c r="F104" i="54"/>
  <c r="E104" i="54"/>
  <c r="D104" i="54"/>
  <c r="C104" i="54"/>
  <c r="O103" i="54"/>
  <c r="N103" i="54"/>
  <c r="M103" i="54"/>
  <c r="L103" i="54"/>
  <c r="K103" i="54"/>
  <c r="J103" i="54"/>
  <c r="I103" i="54"/>
  <c r="H103" i="54"/>
  <c r="G103" i="54"/>
  <c r="F103" i="54"/>
  <c r="E103" i="54"/>
  <c r="D103" i="54"/>
  <c r="C103" i="54"/>
  <c r="L102" i="54"/>
  <c r="K102" i="54"/>
  <c r="U102" i="54" s="1"/>
  <c r="G20" i="28" s="1"/>
  <c r="J102" i="54"/>
  <c r="I102" i="54"/>
  <c r="H102" i="54"/>
  <c r="G102" i="54"/>
  <c r="F102" i="54"/>
  <c r="E102" i="54"/>
  <c r="D102" i="54"/>
  <c r="S102" i="54" s="1"/>
  <c r="C102" i="54"/>
  <c r="O101" i="54"/>
  <c r="N101" i="54"/>
  <c r="M101" i="54"/>
  <c r="L101" i="54"/>
  <c r="K101" i="54"/>
  <c r="J101" i="54"/>
  <c r="I101" i="54"/>
  <c r="H101" i="54"/>
  <c r="G101" i="54"/>
  <c r="F101" i="54"/>
  <c r="E101" i="54"/>
  <c r="D101" i="54"/>
  <c r="C101" i="54"/>
  <c r="N100" i="54"/>
  <c r="M100" i="54"/>
  <c r="L100" i="54"/>
  <c r="K100" i="54"/>
  <c r="J100" i="54"/>
  <c r="I100" i="54"/>
  <c r="H100" i="54"/>
  <c r="G100" i="54"/>
  <c r="F100" i="54"/>
  <c r="E100" i="54"/>
  <c r="D100" i="54"/>
  <c r="C100" i="54"/>
  <c r="M99" i="54"/>
  <c r="L99" i="54"/>
  <c r="K99" i="54"/>
  <c r="J99" i="54"/>
  <c r="I99" i="54"/>
  <c r="H99" i="54"/>
  <c r="G99" i="54"/>
  <c r="F99" i="54"/>
  <c r="E99" i="54"/>
  <c r="D99" i="54"/>
  <c r="C99" i="54"/>
  <c r="N98" i="54"/>
  <c r="M98" i="54"/>
  <c r="L98" i="54"/>
  <c r="K98" i="54"/>
  <c r="J98" i="54"/>
  <c r="I98" i="54"/>
  <c r="H98" i="54"/>
  <c r="G98" i="54"/>
  <c r="F98" i="54"/>
  <c r="E98" i="54"/>
  <c r="D98" i="54"/>
  <c r="C98" i="54"/>
  <c r="M97" i="54"/>
  <c r="L97" i="54"/>
  <c r="K97" i="54"/>
  <c r="J97" i="54"/>
  <c r="I97" i="54"/>
  <c r="H97" i="54"/>
  <c r="G97" i="54"/>
  <c r="F97" i="54"/>
  <c r="E97" i="54"/>
  <c r="D97" i="54"/>
  <c r="C97" i="54"/>
  <c r="K96" i="54"/>
  <c r="J96" i="54"/>
  <c r="I96" i="54"/>
  <c r="H96" i="54"/>
  <c r="G96" i="54"/>
  <c r="F96" i="54"/>
  <c r="E96" i="54"/>
  <c r="D96" i="54"/>
  <c r="S96" i="54" s="1"/>
  <c r="C96" i="54"/>
  <c r="J95" i="54"/>
  <c r="I95" i="54"/>
  <c r="H95" i="54"/>
  <c r="G95" i="54"/>
  <c r="F95" i="54"/>
  <c r="E95" i="54"/>
  <c r="D95" i="54"/>
  <c r="C95" i="54"/>
  <c r="I94" i="54"/>
  <c r="H94" i="54"/>
  <c r="G94" i="54"/>
  <c r="F94" i="54"/>
  <c r="E94" i="54"/>
  <c r="D94" i="54"/>
  <c r="C94" i="54"/>
  <c r="S94" i="54" s="1"/>
  <c r="N93" i="54"/>
  <c r="M93" i="54"/>
  <c r="L93" i="54"/>
  <c r="K93" i="54"/>
  <c r="J93" i="54"/>
  <c r="I93" i="54"/>
  <c r="H93" i="54"/>
  <c r="G93" i="54"/>
  <c r="F93" i="54"/>
  <c r="E93" i="54"/>
  <c r="D93" i="54"/>
  <c r="C93" i="54"/>
  <c r="S93" i="54" s="1"/>
  <c r="N92" i="54"/>
  <c r="H39" i="28" s="1"/>
  <c r="M92" i="54"/>
  <c r="L92" i="54"/>
  <c r="K92" i="54"/>
  <c r="J92" i="54"/>
  <c r="I92" i="54"/>
  <c r="H92" i="54"/>
  <c r="G92" i="54"/>
  <c r="F92" i="54"/>
  <c r="E92" i="54"/>
  <c r="D92" i="54"/>
  <c r="C92" i="54"/>
  <c r="N91" i="54"/>
  <c r="G39" i="28" s="1"/>
  <c r="M91" i="54"/>
  <c r="L91" i="54"/>
  <c r="K91" i="54"/>
  <c r="J91" i="54"/>
  <c r="I91" i="54"/>
  <c r="H91" i="54"/>
  <c r="G91" i="54"/>
  <c r="F91" i="54"/>
  <c r="E91" i="54"/>
  <c r="D91" i="54"/>
  <c r="C91" i="54"/>
  <c r="N90" i="54"/>
  <c r="F39" i="28" s="1"/>
  <c r="M90" i="54"/>
  <c r="F29" i="28" s="1"/>
  <c r="L90" i="54"/>
  <c r="K90" i="54"/>
  <c r="J90" i="54"/>
  <c r="I90" i="54"/>
  <c r="H90" i="54"/>
  <c r="G90" i="54"/>
  <c r="F90" i="54"/>
  <c r="E90" i="54"/>
  <c r="D90" i="54"/>
  <c r="C90" i="54"/>
  <c r="C114" i="54" s="1"/>
  <c r="S114" i="54" s="1"/>
  <c r="U94" i="54" l="1"/>
  <c r="U95" i="54"/>
  <c r="U97" i="54"/>
  <c r="U98" i="54"/>
  <c r="U101" i="54"/>
  <c r="F20" i="28" s="1"/>
  <c r="U106" i="54"/>
  <c r="U111" i="54"/>
  <c r="U112" i="54"/>
  <c r="U93" i="54"/>
  <c r="I16" i="28" s="1"/>
  <c r="U96" i="54"/>
  <c r="U90" i="54"/>
  <c r="F16" i="28" s="1"/>
  <c r="U99" i="54"/>
  <c r="U100" i="54"/>
  <c r="U103" i="54"/>
  <c r="H20" i="28" s="1"/>
  <c r="U104" i="54"/>
  <c r="I20" i="28" s="1"/>
  <c r="U105" i="54"/>
  <c r="U107" i="54"/>
  <c r="U109" i="54"/>
  <c r="U113" i="54"/>
  <c r="J20" i="28"/>
  <c r="J16" i="28"/>
  <c r="U92" i="54"/>
  <c r="H16" i="28" s="1"/>
  <c r="U108" i="54"/>
  <c r="J39" i="28"/>
  <c r="H29" i="28"/>
  <c r="I39" i="28"/>
  <c r="S91" i="54"/>
  <c r="S92" i="54"/>
  <c r="U114" i="54"/>
  <c r="U91" i="54"/>
  <c r="G16" i="28" s="1"/>
  <c r="S103" i="54"/>
  <c r="S100" i="54"/>
  <c r="S104" i="54"/>
  <c r="S105" i="54"/>
  <c r="S106" i="54"/>
  <c r="S108" i="54"/>
  <c r="S109" i="54"/>
  <c r="S110" i="54"/>
  <c r="S95" i="54"/>
  <c r="S97" i="54"/>
  <c r="S98" i="54"/>
  <c r="S99" i="54"/>
  <c r="S101" i="54"/>
  <c r="S107" i="54"/>
  <c r="S111" i="54"/>
  <c r="S112" i="54"/>
  <c r="S113" i="54"/>
  <c r="S90" i="54"/>
  <c r="AB15" i="13" l="1"/>
  <c r="H119" i="49" l="1"/>
  <c r="I119" i="49"/>
  <c r="J119" i="49"/>
  <c r="K119" i="49"/>
  <c r="L119" i="49"/>
  <c r="F25" i="49"/>
  <c r="K25" i="22" l="1"/>
  <c r="T16" i="13" l="1"/>
  <c r="T17" i="13"/>
  <c r="T18" i="13"/>
  <c r="T19" i="13"/>
  <c r="T20" i="13"/>
  <c r="T21" i="13"/>
  <c r="T22" i="13"/>
  <c r="T23" i="13"/>
  <c r="T24" i="13"/>
  <c r="T25" i="13"/>
  <c r="T26" i="13"/>
  <c r="T27" i="13"/>
  <c r="T28" i="13"/>
  <c r="T29" i="13"/>
  <c r="T30" i="13"/>
  <c r="T31" i="13"/>
  <c r="T32" i="13"/>
  <c r="T33" i="13"/>
  <c r="T34" i="13"/>
  <c r="E4" i="22" l="1"/>
  <c r="F4" i="22" s="1"/>
  <c r="P10" i="53" l="1"/>
  <c r="AN10" i="53"/>
  <c r="G10" i="43"/>
  <c r="AF10" i="53"/>
  <c r="I10" i="53"/>
  <c r="G8" i="39"/>
  <c r="H10" i="53"/>
  <c r="H8" i="39"/>
  <c r="J8" i="35"/>
  <c r="G4" i="22"/>
  <c r="I8" i="48"/>
  <c r="I13" i="48" s="1"/>
  <c r="J8" i="48"/>
  <c r="J13" i="48" s="1"/>
  <c r="K8" i="48"/>
  <c r="K13" i="48" s="1"/>
  <c r="L8" i="48"/>
  <c r="L13" i="48" s="1"/>
  <c r="M8" i="48"/>
  <c r="M13" i="48" s="1"/>
  <c r="N8" i="48"/>
  <c r="N13" i="48" s="1"/>
  <c r="H21" i="48"/>
  <c r="H8" i="48"/>
  <c r="I9" i="24"/>
  <c r="I20" i="24"/>
  <c r="I155" i="24"/>
  <c r="G8" i="44"/>
  <c r="G12" i="44" s="1"/>
  <c r="G9" i="44"/>
  <c r="G25" i="44" s="1"/>
  <c r="G26" i="44"/>
  <c r="G30" i="44" s="1"/>
  <c r="I8" i="18"/>
  <c r="H8" i="18"/>
  <c r="P50" i="29"/>
  <c r="O50" i="29"/>
  <c r="H50" i="29"/>
  <c r="I50" i="29"/>
  <c r="G50" i="29"/>
  <c r="AF10" i="43" l="1"/>
  <c r="AG10" i="53"/>
  <c r="AO10" i="53"/>
  <c r="Z10" i="43"/>
  <c r="Q10" i="53"/>
  <c r="J10" i="53"/>
  <c r="H10" i="43"/>
  <c r="I8" i="39"/>
  <c r="K8" i="35"/>
  <c r="H4" i="22"/>
  <c r="I21" i="48"/>
  <c r="I27" i="24"/>
  <c r="I39" i="24"/>
  <c r="I14" i="24"/>
  <c r="AA10" i="43" l="1"/>
  <c r="I10" i="43"/>
  <c r="R10" i="53"/>
  <c r="K10" i="53"/>
  <c r="AG10" i="43"/>
  <c r="AH10" i="53"/>
  <c r="AP10" i="53"/>
  <c r="I4" i="22"/>
  <c r="J8" i="39"/>
  <c r="L8" i="35"/>
  <c r="J8" i="18"/>
  <c r="J50" i="29"/>
  <c r="Q50" i="29"/>
  <c r="J21" i="48"/>
  <c r="H16" i="31"/>
  <c r="H94" i="31" s="1"/>
  <c r="I16" i="31"/>
  <c r="I94" i="31" s="1"/>
  <c r="J16" i="31"/>
  <c r="J94" i="31" s="1"/>
  <c r="G16" i="31"/>
  <c r="H15" i="31"/>
  <c r="I15" i="31"/>
  <c r="G15" i="31"/>
  <c r="G56" i="31" s="1"/>
  <c r="G24" i="31"/>
  <c r="G58" i="31"/>
  <c r="G59" i="31"/>
  <c r="G60" i="31"/>
  <c r="G66" i="31"/>
  <c r="G67" i="31"/>
  <c r="G68" i="31"/>
  <c r="G239" i="31"/>
  <c r="G42" i="31" l="1"/>
  <c r="AB10" i="43"/>
  <c r="J10" i="43"/>
  <c r="S10" i="53"/>
  <c r="L10" i="53"/>
  <c r="AH10" i="43"/>
  <c r="AI10" i="53"/>
  <c r="AQ10" i="53"/>
  <c r="J15" i="31"/>
  <c r="J4" i="22"/>
  <c r="K8" i="39"/>
  <c r="M8" i="35"/>
  <c r="K21" i="48"/>
  <c r="K8" i="18"/>
  <c r="K50" i="29"/>
  <c r="R50" i="29"/>
  <c r="K16" i="31"/>
  <c r="K94" i="31" s="1"/>
  <c r="G75" i="31"/>
  <c r="G94" i="31"/>
  <c r="G69" i="31"/>
  <c r="G41" i="31"/>
  <c r="G61" i="31"/>
  <c r="G77" i="31" s="1"/>
  <c r="G57" i="31"/>
  <c r="G44" i="22"/>
  <c r="G71" i="31" l="1"/>
  <c r="G79" i="31"/>
  <c r="AR10" i="53"/>
  <c r="AI10" i="43"/>
  <c r="AC10" i="43"/>
  <c r="K10" i="43"/>
  <c r="T10" i="53"/>
  <c r="M10" i="53"/>
  <c r="AJ10" i="53"/>
  <c r="K4" i="22"/>
  <c r="L8" i="39"/>
  <c r="N8" i="35"/>
  <c r="S50" i="29"/>
  <c r="L21" i="48"/>
  <c r="L8" i="18"/>
  <c r="L50" i="29"/>
  <c r="L16" i="31"/>
  <c r="L94" i="31" s="1"/>
  <c r="K15" i="31"/>
  <c r="G78" i="31"/>
  <c r="G80" i="31"/>
  <c r="G81" i="31" l="1"/>
  <c r="G27" i="44"/>
  <c r="AJ10" i="43"/>
  <c r="AK10" i="53"/>
  <c r="AS10" i="53"/>
  <c r="AD10" i="43"/>
  <c r="L10" i="43"/>
  <c r="U10" i="53"/>
  <c r="N10" i="53"/>
  <c r="L4" i="22"/>
  <c r="M8" i="39"/>
  <c r="O8" i="35"/>
  <c r="M50" i="29"/>
  <c r="T50" i="29"/>
  <c r="M21" i="48"/>
  <c r="M8" i="18"/>
  <c r="L15" i="31"/>
  <c r="M16" i="31"/>
  <c r="D39" i="22"/>
  <c r="D35" i="22"/>
  <c r="D27" i="22"/>
  <c r="D28" i="22" s="1"/>
  <c r="V10" i="53" l="1"/>
  <c r="AL10" i="53"/>
  <c r="AT10" i="53"/>
  <c r="K29" i="22"/>
  <c r="D41" i="22"/>
  <c r="E30" i="22" l="1"/>
  <c r="F30" i="22" l="1"/>
  <c r="L67" i="49"/>
  <c r="L59" i="38"/>
  <c r="M8" i="44"/>
  <c r="M12" i="44" s="1"/>
  <c r="O9" i="24"/>
  <c r="O14" i="24" s="1"/>
  <c r="N227" i="18"/>
  <c r="N242" i="18"/>
  <c r="N264" i="18"/>
  <c r="N268" i="18"/>
  <c r="T15" i="13"/>
  <c r="K30" i="22" l="1"/>
  <c r="H30" i="22"/>
  <c r="AB15" i="43" s="1"/>
  <c r="I30" i="22"/>
  <c r="AC15" i="43" s="1"/>
  <c r="J30" i="22"/>
  <c r="AD15" i="43" s="1"/>
  <c r="Z15" i="43"/>
  <c r="O27" i="24"/>
  <c r="O39" i="24"/>
  <c r="F57" i="22" l="1"/>
  <c r="F59" i="22" s="1"/>
  <c r="F44" i="22"/>
  <c r="J25" i="22"/>
  <c r="H96" i="38" l="1"/>
  <c r="I96" i="38"/>
  <c r="J96" i="38"/>
  <c r="H95" i="38"/>
  <c r="I95" i="38"/>
  <c r="J95" i="38"/>
  <c r="U86" i="54" l="1"/>
  <c r="U85" i="54"/>
  <c r="U84" i="54"/>
  <c r="U83" i="54"/>
  <c r="U82" i="54"/>
  <c r="U81" i="54"/>
  <c r="U80" i="54"/>
  <c r="U79" i="54"/>
  <c r="U78" i="54"/>
  <c r="U77" i="54"/>
  <c r="U76" i="54"/>
  <c r="U75" i="54"/>
  <c r="U74" i="54"/>
  <c r="U73" i="54"/>
  <c r="U72" i="54"/>
  <c r="U71" i="54"/>
  <c r="U70" i="54"/>
  <c r="U69" i="54"/>
  <c r="U68" i="54"/>
  <c r="U67" i="54"/>
  <c r="U66" i="54"/>
  <c r="U65" i="54"/>
  <c r="U64" i="54"/>
  <c r="U63" i="54"/>
  <c r="U58" i="54"/>
  <c r="U57" i="54"/>
  <c r="U56" i="54"/>
  <c r="U55" i="54"/>
  <c r="U54" i="54"/>
  <c r="U53" i="54"/>
  <c r="U52" i="54"/>
  <c r="U51" i="54"/>
  <c r="U50" i="54"/>
  <c r="U49" i="54"/>
  <c r="U48" i="54"/>
  <c r="U47" i="54"/>
  <c r="U46" i="54"/>
  <c r="U45" i="54"/>
  <c r="U44" i="54"/>
  <c r="U43" i="54"/>
  <c r="U42" i="54"/>
  <c r="U41" i="54"/>
  <c r="U40" i="54"/>
  <c r="U39" i="54"/>
  <c r="U38" i="54"/>
  <c r="U37" i="54"/>
  <c r="U36" i="54"/>
  <c r="U35" i="54"/>
  <c r="U34" i="54"/>
  <c r="G42" i="28" l="1"/>
  <c r="H42" i="28"/>
  <c r="I42" i="28"/>
  <c r="J42" i="28"/>
  <c r="F42" i="28"/>
  <c r="F32" i="28"/>
  <c r="G32" i="28"/>
  <c r="H32" i="28"/>
  <c r="I32" i="28"/>
  <c r="J32" i="28"/>
  <c r="AC205" i="13"/>
  <c r="AC208" i="13" s="1"/>
  <c r="AC173" i="13"/>
  <c r="AC176" i="13" s="1"/>
  <c r="AC141" i="13"/>
  <c r="AC144" i="13" s="1"/>
  <c r="AC109" i="13"/>
  <c r="AC112" i="13" s="1"/>
  <c r="AC77" i="13"/>
  <c r="AC80" i="13" s="1"/>
  <c r="AC45" i="13"/>
  <c r="AC48" i="13" s="1"/>
  <c r="AC13" i="13"/>
  <c r="AC16" i="13" s="1"/>
  <c r="AC118" i="13" l="1"/>
  <c r="AC191" i="13"/>
  <c r="AC59" i="13"/>
  <c r="AC126" i="13"/>
  <c r="AC98" i="13"/>
  <c r="AC82" i="13"/>
  <c r="AC207" i="13"/>
  <c r="AC211" i="13"/>
  <c r="AC31" i="13"/>
  <c r="AC55" i="13"/>
  <c r="AC95" i="13"/>
  <c r="AC87" i="13"/>
  <c r="AC111" i="13"/>
  <c r="AC123" i="13"/>
  <c r="AC115" i="13"/>
  <c r="AC187" i="13"/>
  <c r="AC226" i="13"/>
  <c r="AC218" i="13"/>
  <c r="AC210" i="13"/>
  <c r="AC90" i="13"/>
  <c r="AC219" i="13"/>
  <c r="AC47" i="13"/>
  <c r="AC51" i="13"/>
  <c r="AC94" i="13"/>
  <c r="AC86" i="13"/>
  <c r="AC130" i="13"/>
  <c r="AC122" i="13"/>
  <c r="AC114" i="13"/>
  <c r="AC183" i="13"/>
  <c r="AC223" i="13"/>
  <c r="AC215" i="13"/>
  <c r="AC63" i="13"/>
  <c r="AC79" i="13"/>
  <c r="AC91" i="13"/>
  <c r="AC83" i="13"/>
  <c r="AC127" i="13"/>
  <c r="AC119" i="13"/>
  <c r="AC175" i="13"/>
  <c r="AC179" i="13"/>
  <c r="AC222" i="13"/>
  <c r="AC214" i="13"/>
  <c r="AC143" i="13"/>
  <c r="AC151" i="13"/>
  <c r="AC22" i="13"/>
  <c r="AC66" i="13"/>
  <c r="AC58" i="13"/>
  <c r="AC54" i="13"/>
  <c r="AC158" i="13"/>
  <c r="AC150" i="13"/>
  <c r="AC194" i="13"/>
  <c r="AC182" i="13"/>
  <c r="AC178" i="13"/>
  <c r="AC15" i="13"/>
  <c r="AC27" i="13"/>
  <c r="AC19" i="13"/>
  <c r="AC65" i="13"/>
  <c r="AC61" i="13"/>
  <c r="AC57" i="13"/>
  <c r="AC53" i="13"/>
  <c r="AC49" i="13"/>
  <c r="AC97" i="13"/>
  <c r="AC93" i="13"/>
  <c r="AC89" i="13"/>
  <c r="AC85" i="13"/>
  <c r="AC81" i="13"/>
  <c r="AC129" i="13"/>
  <c r="AC125" i="13"/>
  <c r="AC121" i="13"/>
  <c r="AC117" i="13"/>
  <c r="AC113" i="13"/>
  <c r="AC161" i="13"/>
  <c r="AC157" i="13"/>
  <c r="AC153" i="13"/>
  <c r="AC149" i="13"/>
  <c r="AC145" i="13"/>
  <c r="AC193" i="13"/>
  <c r="AC189" i="13"/>
  <c r="AC185" i="13"/>
  <c r="AC181" i="13"/>
  <c r="AC177" i="13"/>
  <c r="AC225" i="13"/>
  <c r="AC221" i="13"/>
  <c r="AC217" i="13"/>
  <c r="AC213" i="13"/>
  <c r="AC209" i="13"/>
  <c r="AC23" i="13"/>
  <c r="AC159" i="13"/>
  <c r="AC155" i="13"/>
  <c r="AC147" i="13"/>
  <c r="AC30" i="13"/>
  <c r="AC62" i="13"/>
  <c r="AC50" i="13"/>
  <c r="AC162" i="13"/>
  <c r="AC154" i="13"/>
  <c r="AC146" i="13"/>
  <c r="AC190" i="13"/>
  <c r="AC186" i="13"/>
  <c r="AC34" i="13"/>
  <c r="AC26" i="13"/>
  <c r="AC18" i="13"/>
  <c r="AC64" i="13"/>
  <c r="AC60" i="13"/>
  <c r="AC56" i="13"/>
  <c r="AC52" i="13"/>
  <c r="AC96" i="13"/>
  <c r="AC92" i="13"/>
  <c r="AC88" i="13"/>
  <c r="AC84" i="13"/>
  <c r="AC128" i="13"/>
  <c r="AC124" i="13"/>
  <c r="AC120" i="13"/>
  <c r="AC116" i="13"/>
  <c r="AC160" i="13"/>
  <c r="AC156" i="13"/>
  <c r="AC152" i="13"/>
  <c r="AC148" i="13"/>
  <c r="AC192" i="13"/>
  <c r="AC188" i="13"/>
  <c r="AC184" i="13"/>
  <c r="AC180" i="13"/>
  <c r="AC224" i="13"/>
  <c r="AC220" i="13"/>
  <c r="AC216" i="13"/>
  <c r="AC212" i="13"/>
  <c r="AC33" i="13"/>
  <c r="AC29" i="13"/>
  <c r="AC25" i="13"/>
  <c r="AC21" i="13"/>
  <c r="AC17" i="13"/>
  <c r="AC32" i="13"/>
  <c r="AC28" i="13"/>
  <c r="AC24" i="13"/>
  <c r="AC20" i="13"/>
  <c r="AB16" i="13" l="1"/>
  <c r="AB17" i="13"/>
  <c r="AB18" i="13"/>
  <c r="AB19" i="13"/>
  <c r="AB20" i="13"/>
  <c r="AB21" i="13"/>
  <c r="AB22" i="13"/>
  <c r="AB23" i="13"/>
  <c r="AB24" i="13"/>
  <c r="AB25" i="13"/>
  <c r="AB26" i="13"/>
  <c r="AB27" i="13"/>
  <c r="AB28" i="13"/>
  <c r="AB29" i="13"/>
  <c r="AB30" i="13"/>
  <c r="AB31" i="13"/>
  <c r="AB32" i="13"/>
  <c r="AB33" i="13"/>
  <c r="AB34" i="13"/>
  <c r="H8" i="44"/>
  <c r="H12" i="44" s="1"/>
  <c r="I8" i="44"/>
  <c r="I12" i="44" s="1"/>
  <c r="J8" i="44"/>
  <c r="J12" i="44" s="1"/>
  <c r="K8" i="44"/>
  <c r="K12" i="44" s="1"/>
  <c r="L8" i="44"/>
  <c r="L12" i="44" s="1"/>
  <c r="G13" i="44" l="1"/>
  <c r="I53" i="48"/>
  <c r="J53" i="48"/>
  <c r="K213" i="48"/>
  <c r="L213" i="48"/>
  <c r="M53" i="48"/>
  <c r="N53" i="48"/>
  <c r="H13" i="48"/>
  <c r="H73" i="48" s="1"/>
  <c r="J9" i="24"/>
  <c r="K9" i="24"/>
  <c r="K27" i="24" s="1"/>
  <c r="L9" i="24"/>
  <c r="L14" i="24" s="1"/>
  <c r="M9" i="24"/>
  <c r="M27" i="24" s="1"/>
  <c r="N9" i="24"/>
  <c r="N27" i="24" s="1"/>
  <c r="E25" i="22"/>
  <c r="F25" i="22"/>
  <c r="G25" i="22"/>
  <c r="H25" i="22"/>
  <c r="I25" i="22"/>
  <c r="D25" i="22"/>
  <c r="H59" i="38"/>
  <c r="I59" i="38"/>
  <c r="J59" i="38"/>
  <c r="K59" i="38"/>
  <c r="F59" i="38"/>
  <c r="K218" i="35"/>
  <c r="L218" i="35"/>
  <c r="M218" i="35"/>
  <c r="N218" i="35"/>
  <c r="O218" i="35"/>
  <c r="E200" i="13"/>
  <c r="E199" i="13"/>
  <c r="E168" i="13"/>
  <c r="E167" i="13"/>
  <c r="E136" i="13"/>
  <c r="E135" i="13"/>
  <c r="E104" i="13"/>
  <c r="E103" i="13"/>
  <c r="E72" i="13"/>
  <c r="E71" i="13"/>
  <c r="E40" i="13"/>
  <c r="E39" i="13"/>
  <c r="E8" i="13"/>
  <c r="E7" i="13"/>
  <c r="I242" i="18"/>
  <c r="J242" i="18"/>
  <c r="K242" i="18"/>
  <c r="L242" i="18"/>
  <c r="M242" i="18"/>
  <c r="I227" i="18"/>
  <c r="J227" i="18"/>
  <c r="K227" i="18"/>
  <c r="L227" i="18"/>
  <c r="M227" i="18"/>
  <c r="U30" i="54"/>
  <c r="U29" i="54"/>
  <c r="U28" i="54"/>
  <c r="U27" i="54"/>
  <c r="U26" i="54"/>
  <c r="U25" i="54"/>
  <c r="U24" i="54"/>
  <c r="U23" i="54"/>
  <c r="U22" i="54"/>
  <c r="U21" i="54"/>
  <c r="U20" i="54"/>
  <c r="U19" i="54"/>
  <c r="U18" i="54"/>
  <c r="U17" i="54"/>
  <c r="U16" i="54"/>
  <c r="U15" i="54"/>
  <c r="U14" i="54"/>
  <c r="U13" i="54"/>
  <c r="U12" i="54"/>
  <c r="U11" i="54"/>
  <c r="U10" i="54"/>
  <c r="U7" i="54"/>
  <c r="U8" i="54"/>
  <c r="U9" i="54"/>
  <c r="U6" i="54"/>
  <c r="S86" i="54"/>
  <c r="S85" i="54"/>
  <c r="S84" i="54"/>
  <c r="S83" i="54"/>
  <c r="S82" i="54"/>
  <c r="S81" i="54"/>
  <c r="S80" i="54"/>
  <c r="S79" i="54"/>
  <c r="S78" i="54"/>
  <c r="S77" i="54"/>
  <c r="S76" i="54"/>
  <c r="S75" i="54"/>
  <c r="S74" i="54"/>
  <c r="S73" i="54"/>
  <c r="S72" i="54"/>
  <c r="S71" i="54"/>
  <c r="S70" i="54"/>
  <c r="S69" i="54"/>
  <c r="S68" i="54"/>
  <c r="S67" i="54"/>
  <c r="S66" i="54"/>
  <c r="S65" i="54"/>
  <c r="S64" i="54"/>
  <c r="S63" i="54"/>
  <c r="S62" i="54"/>
  <c r="S58" i="54"/>
  <c r="S57" i="54"/>
  <c r="S56" i="54"/>
  <c r="S55" i="54"/>
  <c r="S54" i="54"/>
  <c r="S53" i="54"/>
  <c r="S52" i="54"/>
  <c r="S51" i="54"/>
  <c r="S50" i="54"/>
  <c r="S49" i="54"/>
  <c r="S48" i="54"/>
  <c r="S47" i="54"/>
  <c r="S46" i="54"/>
  <c r="S45" i="54"/>
  <c r="S44" i="54"/>
  <c r="S43" i="54"/>
  <c r="S42" i="54"/>
  <c r="S41" i="54"/>
  <c r="S40" i="54"/>
  <c r="S39" i="54"/>
  <c r="S38" i="54"/>
  <c r="S37" i="54"/>
  <c r="S36" i="54"/>
  <c r="S35" i="54"/>
  <c r="S34" i="54"/>
  <c r="S30" i="54"/>
  <c r="S29" i="54"/>
  <c r="S28" i="54"/>
  <c r="S27" i="54"/>
  <c r="S26" i="54"/>
  <c r="S25" i="54"/>
  <c r="S24" i="54"/>
  <c r="S23" i="54"/>
  <c r="S22" i="54"/>
  <c r="S21" i="54"/>
  <c r="S20" i="54"/>
  <c r="S19" i="54"/>
  <c r="S18" i="54"/>
  <c r="S17" i="54"/>
  <c r="S16" i="54"/>
  <c r="S15" i="54"/>
  <c r="S14" i="54"/>
  <c r="S13" i="54"/>
  <c r="S12" i="54"/>
  <c r="S11" i="54"/>
  <c r="S10" i="54"/>
  <c r="S9" i="54"/>
  <c r="S8" i="54"/>
  <c r="S7" i="54"/>
  <c r="S6" i="54"/>
  <c r="J27" i="24" l="1"/>
  <c r="J39" i="24"/>
  <c r="G14" i="44"/>
  <c r="G17" i="44"/>
  <c r="L27" i="24"/>
  <c r="M14" i="24"/>
  <c r="K14" i="24"/>
  <c r="N14" i="24"/>
  <c r="J14" i="24"/>
  <c r="H33" i="48"/>
  <c r="L196" i="48"/>
  <c r="L116" i="48"/>
  <c r="J33" i="48"/>
  <c r="L176" i="48"/>
  <c r="L93" i="48"/>
  <c r="D6" i="22"/>
  <c r="D29" i="22"/>
  <c r="N213" i="48"/>
  <c r="L156" i="48"/>
  <c r="L73" i="48"/>
  <c r="E6" i="22"/>
  <c r="N33" i="48"/>
  <c r="J213" i="48"/>
  <c r="L136" i="48"/>
  <c r="L53" i="48"/>
  <c r="M33" i="48"/>
  <c r="I33" i="48"/>
  <c r="M213" i="48"/>
  <c r="I213" i="48"/>
  <c r="K196" i="48"/>
  <c r="K176" i="48"/>
  <c r="K156" i="48"/>
  <c r="K136" i="48"/>
  <c r="K116" i="48"/>
  <c r="K93" i="48"/>
  <c r="K73" i="48"/>
  <c r="K53" i="48"/>
  <c r="F8" i="38"/>
  <c r="L33" i="48"/>
  <c r="H213" i="48"/>
  <c r="N196" i="48"/>
  <c r="J196" i="48"/>
  <c r="N176" i="48"/>
  <c r="J176" i="48"/>
  <c r="N156" i="48"/>
  <c r="J156" i="48"/>
  <c r="N136" i="48"/>
  <c r="J136" i="48"/>
  <c r="N116" i="48"/>
  <c r="J116" i="48"/>
  <c r="N93" i="48"/>
  <c r="J93" i="48"/>
  <c r="N73" i="48"/>
  <c r="J73" i="48"/>
  <c r="F7" i="49"/>
  <c r="K33" i="48"/>
  <c r="M196" i="48"/>
  <c r="I196" i="48"/>
  <c r="M176" i="48"/>
  <c r="I176" i="48"/>
  <c r="M156" i="48"/>
  <c r="I156" i="48"/>
  <c r="M136" i="48"/>
  <c r="I136" i="48"/>
  <c r="M116" i="48"/>
  <c r="I116" i="48"/>
  <c r="M93" i="48"/>
  <c r="I93" i="48"/>
  <c r="M73" i="48"/>
  <c r="I73" i="48"/>
  <c r="H116" i="48"/>
  <c r="H156" i="48"/>
  <c r="H196" i="48"/>
  <c r="H53" i="48"/>
  <c r="H93" i="48"/>
  <c r="H136" i="48"/>
  <c r="H176" i="48"/>
  <c r="I61" i="48" l="1"/>
  <c r="I120" i="18"/>
  <c r="E29" i="22"/>
  <c r="H9" i="44"/>
  <c r="H25" i="44" s="1"/>
  <c r="K200" i="35"/>
  <c r="J155" i="24"/>
  <c r="H75" i="31"/>
  <c r="H184" i="48"/>
  <c r="H101" i="48"/>
  <c r="H164" i="48"/>
  <c r="H81" i="48"/>
  <c r="H41" i="48"/>
  <c r="H204" i="48"/>
  <c r="H124" i="48"/>
  <c r="H216" i="48"/>
  <c r="H144" i="48"/>
  <c r="H61" i="48"/>
  <c r="H120" i="18"/>
  <c r="H140" i="18"/>
  <c r="H188" i="18"/>
  <c r="I216" i="48"/>
  <c r="I41" i="48"/>
  <c r="I81" i="48"/>
  <c r="I101" i="48"/>
  <c r="I124" i="48"/>
  <c r="I164" i="48"/>
  <c r="I184" i="48"/>
  <c r="I204" i="48"/>
  <c r="I144" i="48" l="1"/>
  <c r="I188" i="18"/>
  <c r="I140" i="18"/>
  <c r="I9" i="44"/>
  <c r="I25" i="44" s="1"/>
  <c r="L200" i="35"/>
  <c r="I75" i="31"/>
  <c r="H8" i="38"/>
  <c r="F6" i="22"/>
  <c r="K20" i="24"/>
  <c r="J120" i="18"/>
  <c r="J216" i="48"/>
  <c r="F29" i="22"/>
  <c r="K155" i="24"/>
  <c r="H8" i="40"/>
  <c r="H7" i="49"/>
  <c r="L20" i="24"/>
  <c r="J75" i="31"/>
  <c r="M200" i="35" l="1"/>
  <c r="J9" i="44"/>
  <c r="J25" i="44" s="1"/>
  <c r="K124" i="48"/>
  <c r="J188" i="18"/>
  <c r="I8" i="40"/>
  <c r="J140" i="18"/>
  <c r="J124" i="48"/>
  <c r="J101" i="48"/>
  <c r="J144" i="48"/>
  <c r="J61" i="48"/>
  <c r="J164" i="48"/>
  <c r="J41" i="48"/>
  <c r="K140" i="18"/>
  <c r="I8" i="38"/>
  <c r="G6" i="22"/>
  <c r="I7" i="49"/>
  <c r="J204" i="48"/>
  <c r="J81" i="48"/>
  <c r="G29" i="22"/>
  <c r="L155" i="24"/>
  <c r="J184" i="48"/>
  <c r="M155" i="24"/>
  <c r="K75" i="31" l="1"/>
  <c r="K164" i="48"/>
  <c r="K101" i="48"/>
  <c r="K216" i="48"/>
  <c r="K81" i="48"/>
  <c r="K184" i="48"/>
  <c r="K9" i="44"/>
  <c r="K25" i="44" s="1"/>
  <c r="K41" i="48"/>
  <c r="K144" i="48"/>
  <c r="K61" i="48"/>
  <c r="K204" i="48"/>
  <c r="K120" i="18"/>
  <c r="N155" i="24"/>
  <c r="K188" i="18"/>
  <c r="L101" i="48"/>
  <c r="J8" i="40"/>
  <c r="H29" i="22"/>
  <c r="J7" i="49"/>
  <c r="L120" i="18"/>
  <c r="J8" i="38"/>
  <c r="L75" i="31"/>
  <c r="H6" i="22"/>
  <c r="N200" i="35"/>
  <c r="M20" i="24"/>
  <c r="K8" i="38" l="1"/>
  <c r="K7" i="49"/>
  <c r="L9" i="44"/>
  <c r="L25" i="44" s="1"/>
  <c r="M120" i="18"/>
  <c r="O200" i="35"/>
  <c r="I6" i="22"/>
  <c r="L164" i="48"/>
  <c r="N20" i="24"/>
  <c r="K8" i="40"/>
  <c r="M101" i="48"/>
  <c r="I29" i="22"/>
  <c r="L216" i="48"/>
  <c r="L81" i="48"/>
  <c r="L41" i="48"/>
  <c r="L61" i="48"/>
  <c r="L204" i="48"/>
  <c r="L124" i="48"/>
  <c r="L144" i="48"/>
  <c r="L184" i="48"/>
  <c r="L188" i="18"/>
  <c r="L140" i="18"/>
  <c r="M188" i="18"/>
  <c r="M81" i="48"/>
  <c r="M144" i="48" l="1"/>
  <c r="J29" i="22"/>
  <c r="O155" i="24"/>
  <c r="M9" i="44"/>
  <c r="M25" i="44" s="1"/>
  <c r="L7" i="49"/>
  <c r="L91" i="49" s="1"/>
  <c r="L8" i="38"/>
  <c r="O20" i="24"/>
  <c r="O31" i="24" s="1"/>
  <c r="AD10" i="53"/>
  <c r="L8" i="40"/>
  <c r="M140" i="18"/>
  <c r="M75" i="31"/>
  <c r="M57" i="31"/>
  <c r="M94" i="31"/>
  <c r="M41" i="48"/>
  <c r="M61" i="48"/>
  <c r="M164" i="48"/>
  <c r="M204" i="48"/>
  <c r="M124" i="48"/>
  <c r="M216" i="48"/>
  <c r="J6" i="22"/>
  <c r="M184" i="48"/>
  <c r="AC10" i="53" l="1"/>
  <c r="K67" i="49"/>
  <c r="K91" i="49"/>
  <c r="F49" i="22"/>
  <c r="E57" i="22"/>
  <c r="E59" i="22" s="1"/>
  <c r="E44" i="22" l="1"/>
  <c r="F110" i="49"/>
  <c r="F109" i="49"/>
  <c r="F108" i="49"/>
  <c r="F107" i="49"/>
  <c r="H20" i="49"/>
  <c r="I20" i="49"/>
  <c r="J20" i="49"/>
  <c r="H14" i="49"/>
  <c r="I14" i="49"/>
  <c r="J14" i="49"/>
  <c r="E8" i="22" l="1"/>
  <c r="H26" i="22" l="1"/>
  <c r="I26" i="22" s="1"/>
  <c r="O15" i="43"/>
  <c r="G28" i="22"/>
  <c r="F34" i="38"/>
  <c r="J26" i="22" l="1"/>
  <c r="Q15" i="43"/>
  <c r="I28" i="22"/>
  <c r="P15" i="43"/>
  <c r="H28" i="22"/>
  <c r="F115" i="49"/>
  <c r="H206" i="18"/>
  <c r="H199" i="18"/>
  <c r="K26" i="22" l="1"/>
  <c r="K28" i="22" s="1"/>
  <c r="R15" i="43"/>
  <c r="J28" i="22"/>
  <c r="I206" i="48"/>
  <c r="J206" i="48" s="1"/>
  <c r="K206" i="48" s="1"/>
  <c r="L206" i="48" s="1"/>
  <c r="M206" i="48" s="1"/>
  <c r="N206" i="48" s="1"/>
  <c r="I207" i="48"/>
  <c r="J207" i="48" s="1"/>
  <c r="K207" i="48" s="1"/>
  <c r="L207" i="48" s="1"/>
  <c r="M207" i="48" s="1"/>
  <c r="N207" i="48" s="1"/>
  <c r="I208" i="48"/>
  <c r="J208" i="48" s="1"/>
  <c r="K208" i="48" s="1"/>
  <c r="L208" i="48" s="1"/>
  <c r="M208" i="48" s="1"/>
  <c r="N208" i="48" s="1"/>
  <c r="I209" i="48"/>
  <c r="J209" i="48" s="1"/>
  <c r="K209" i="48" s="1"/>
  <c r="L209" i="48" s="1"/>
  <c r="M209" i="48" s="1"/>
  <c r="N209" i="48" s="1"/>
  <c r="I205" i="48"/>
  <c r="J205" i="48" s="1"/>
  <c r="K205" i="48" s="1"/>
  <c r="L205" i="48" s="1"/>
  <c r="M205" i="48" s="1"/>
  <c r="N205" i="48" s="1"/>
  <c r="I186" i="48"/>
  <c r="J186" i="48" s="1"/>
  <c r="K186" i="48" s="1"/>
  <c r="L186" i="48" s="1"/>
  <c r="M186" i="48" s="1"/>
  <c r="N186" i="48" s="1"/>
  <c r="I187" i="48"/>
  <c r="J187" i="48" s="1"/>
  <c r="K187" i="48" s="1"/>
  <c r="L187" i="48" s="1"/>
  <c r="M187" i="48" s="1"/>
  <c r="N187" i="48" s="1"/>
  <c r="I188" i="48"/>
  <c r="J188" i="48" s="1"/>
  <c r="K188" i="48" s="1"/>
  <c r="L188" i="48" s="1"/>
  <c r="M188" i="48" s="1"/>
  <c r="N188" i="48" s="1"/>
  <c r="I189" i="48"/>
  <c r="J189" i="48" s="1"/>
  <c r="K189" i="48" s="1"/>
  <c r="L189" i="48" s="1"/>
  <c r="M189" i="48" s="1"/>
  <c r="N189" i="48" s="1"/>
  <c r="I185" i="48"/>
  <c r="J185" i="48" s="1"/>
  <c r="K185" i="48" s="1"/>
  <c r="L185" i="48" s="1"/>
  <c r="M185" i="48" s="1"/>
  <c r="N185" i="48" s="1"/>
  <c r="I166" i="48"/>
  <c r="J166" i="48" s="1"/>
  <c r="K166" i="48" s="1"/>
  <c r="L166" i="48" s="1"/>
  <c r="M166" i="48" s="1"/>
  <c r="N166" i="48" s="1"/>
  <c r="I167" i="48"/>
  <c r="J167" i="48" s="1"/>
  <c r="K167" i="48" s="1"/>
  <c r="L167" i="48" s="1"/>
  <c r="M167" i="48" s="1"/>
  <c r="N167" i="48" s="1"/>
  <c r="I168" i="48"/>
  <c r="J168" i="48" s="1"/>
  <c r="K168" i="48" s="1"/>
  <c r="L168" i="48" s="1"/>
  <c r="M168" i="48" s="1"/>
  <c r="N168" i="48" s="1"/>
  <c r="I169" i="48"/>
  <c r="J169" i="48" s="1"/>
  <c r="K169" i="48" s="1"/>
  <c r="L169" i="48" s="1"/>
  <c r="M169" i="48" s="1"/>
  <c r="N169" i="48" s="1"/>
  <c r="I165" i="48"/>
  <c r="J165" i="48" s="1"/>
  <c r="K165" i="48" s="1"/>
  <c r="L165" i="48" s="1"/>
  <c r="M165" i="48" s="1"/>
  <c r="N165" i="48" s="1"/>
  <c r="I146" i="48"/>
  <c r="J146" i="48" s="1"/>
  <c r="K146" i="48" s="1"/>
  <c r="L146" i="48" s="1"/>
  <c r="M146" i="48" s="1"/>
  <c r="N146" i="48" s="1"/>
  <c r="I147" i="48"/>
  <c r="J147" i="48" s="1"/>
  <c r="K147" i="48" s="1"/>
  <c r="L147" i="48" s="1"/>
  <c r="M147" i="48" s="1"/>
  <c r="N147" i="48" s="1"/>
  <c r="I148" i="48"/>
  <c r="J148" i="48" s="1"/>
  <c r="K148" i="48" s="1"/>
  <c r="L148" i="48" s="1"/>
  <c r="M148" i="48" s="1"/>
  <c r="N148" i="48" s="1"/>
  <c r="I149" i="48"/>
  <c r="J149" i="48" s="1"/>
  <c r="K149" i="48" s="1"/>
  <c r="L149" i="48" s="1"/>
  <c r="M149" i="48" s="1"/>
  <c r="N149" i="48" s="1"/>
  <c r="I145" i="48"/>
  <c r="J145" i="48" s="1"/>
  <c r="K145" i="48" s="1"/>
  <c r="L145" i="48" s="1"/>
  <c r="M145" i="48" s="1"/>
  <c r="N145" i="48" s="1"/>
  <c r="J125" i="48"/>
  <c r="K125" i="48" s="1"/>
  <c r="L125" i="48" s="1"/>
  <c r="M125" i="48" s="1"/>
  <c r="N125" i="48" s="1"/>
  <c r="I126" i="48"/>
  <c r="J126" i="48" s="1"/>
  <c r="K126" i="48" s="1"/>
  <c r="L126" i="48" s="1"/>
  <c r="M126" i="48" s="1"/>
  <c r="N126" i="48" s="1"/>
  <c r="I127" i="48"/>
  <c r="J127" i="48" s="1"/>
  <c r="K127" i="48" s="1"/>
  <c r="L127" i="48" s="1"/>
  <c r="M127" i="48" s="1"/>
  <c r="N127" i="48" s="1"/>
  <c r="I128" i="48"/>
  <c r="J128" i="48" s="1"/>
  <c r="K128" i="48" s="1"/>
  <c r="L128" i="48" s="1"/>
  <c r="M128" i="48" s="1"/>
  <c r="N128" i="48" s="1"/>
  <c r="I129" i="48"/>
  <c r="J129" i="48" s="1"/>
  <c r="K129" i="48" s="1"/>
  <c r="L129" i="48" s="1"/>
  <c r="M129" i="48" s="1"/>
  <c r="N129" i="48" s="1"/>
  <c r="I125" i="48"/>
  <c r="I103" i="48"/>
  <c r="J103" i="48" s="1"/>
  <c r="K103" i="48" s="1"/>
  <c r="L103" i="48" s="1"/>
  <c r="M103" i="48" s="1"/>
  <c r="N103" i="48" s="1"/>
  <c r="I104" i="48"/>
  <c r="J104" i="48" s="1"/>
  <c r="K104" i="48" s="1"/>
  <c r="L104" i="48" s="1"/>
  <c r="M104" i="48" s="1"/>
  <c r="N104" i="48" s="1"/>
  <c r="I105" i="48"/>
  <c r="J105" i="48" s="1"/>
  <c r="K105" i="48" s="1"/>
  <c r="L105" i="48" s="1"/>
  <c r="M105" i="48" s="1"/>
  <c r="N105" i="48" s="1"/>
  <c r="I106" i="48"/>
  <c r="J106" i="48" s="1"/>
  <c r="K106" i="48" s="1"/>
  <c r="L106" i="48" s="1"/>
  <c r="M106" i="48" s="1"/>
  <c r="N106" i="48" s="1"/>
  <c r="I102" i="48"/>
  <c r="J102" i="48" s="1"/>
  <c r="K102" i="48" s="1"/>
  <c r="L102" i="48" s="1"/>
  <c r="M102" i="48" s="1"/>
  <c r="N102" i="48" s="1"/>
  <c r="I83" i="48"/>
  <c r="J83" i="48" s="1"/>
  <c r="K83" i="48" s="1"/>
  <c r="L83" i="48" s="1"/>
  <c r="M83" i="48" s="1"/>
  <c r="N83" i="48" s="1"/>
  <c r="I84" i="48"/>
  <c r="J84" i="48" s="1"/>
  <c r="K84" i="48" s="1"/>
  <c r="L84" i="48" s="1"/>
  <c r="M84" i="48" s="1"/>
  <c r="N84" i="48" s="1"/>
  <c r="I85" i="48"/>
  <c r="J85" i="48" s="1"/>
  <c r="K85" i="48" s="1"/>
  <c r="L85" i="48" s="1"/>
  <c r="M85" i="48" s="1"/>
  <c r="N85" i="48" s="1"/>
  <c r="I86" i="48"/>
  <c r="J86" i="48" s="1"/>
  <c r="K86" i="48" s="1"/>
  <c r="L86" i="48" s="1"/>
  <c r="M86" i="48" s="1"/>
  <c r="N86" i="48" s="1"/>
  <c r="I82" i="48"/>
  <c r="J82" i="48" s="1"/>
  <c r="K82" i="48" s="1"/>
  <c r="L82" i="48" s="1"/>
  <c r="M82" i="48" s="1"/>
  <c r="N82" i="48" s="1"/>
  <c r="I63" i="48"/>
  <c r="J63" i="48" s="1"/>
  <c r="K63" i="48" s="1"/>
  <c r="L63" i="48" s="1"/>
  <c r="M63" i="48" s="1"/>
  <c r="N63" i="48" s="1"/>
  <c r="I64" i="48"/>
  <c r="J64" i="48" s="1"/>
  <c r="K64" i="48" s="1"/>
  <c r="L64" i="48" s="1"/>
  <c r="M64" i="48" s="1"/>
  <c r="N64" i="48" s="1"/>
  <c r="I65" i="48"/>
  <c r="J65" i="48" s="1"/>
  <c r="K65" i="48" s="1"/>
  <c r="L65" i="48" s="1"/>
  <c r="M65" i="48" s="1"/>
  <c r="N65" i="48" s="1"/>
  <c r="I66" i="48"/>
  <c r="J66" i="48" s="1"/>
  <c r="K66" i="48" s="1"/>
  <c r="L66" i="48" s="1"/>
  <c r="M66" i="48" s="1"/>
  <c r="N66" i="48" s="1"/>
  <c r="I62" i="48"/>
  <c r="J62" i="48" s="1"/>
  <c r="K62" i="48" s="1"/>
  <c r="L62" i="48" s="1"/>
  <c r="M62" i="48" s="1"/>
  <c r="N62" i="48" s="1"/>
  <c r="I43" i="48"/>
  <c r="J43" i="48" s="1"/>
  <c r="K43" i="48" s="1"/>
  <c r="L43" i="48" s="1"/>
  <c r="M43" i="48" s="1"/>
  <c r="N43" i="48" s="1"/>
  <c r="I44" i="48"/>
  <c r="J44" i="48" s="1"/>
  <c r="K44" i="48" s="1"/>
  <c r="L44" i="48" s="1"/>
  <c r="M44" i="48" s="1"/>
  <c r="N44" i="48" s="1"/>
  <c r="I45" i="48"/>
  <c r="J45" i="48" s="1"/>
  <c r="K45" i="48" s="1"/>
  <c r="L45" i="48" s="1"/>
  <c r="M45" i="48" s="1"/>
  <c r="N45" i="48" s="1"/>
  <c r="I46" i="48"/>
  <c r="J46" i="48" s="1"/>
  <c r="K46" i="48" s="1"/>
  <c r="L46" i="48" s="1"/>
  <c r="M46" i="48" s="1"/>
  <c r="N46" i="48" s="1"/>
  <c r="I42" i="48"/>
  <c r="J42" i="48" s="1"/>
  <c r="K42" i="48" s="1"/>
  <c r="L42" i="48" s="1"/>
  <c r="M42" i="48" s="1"/>
  <c r="N42" i="48" s="1"/>
  <c r="I23" i="48"/>
  <c r="J23" i="48" s="1"/>
  <c r="K23" i="48" s="1"/>
  <c r="L23" i="48" s="1"/>
  <c r="M23" i="48" s="1"/>
  <c r="N23" i="48" s="1"/>
  <c r="I24" i="48"/>
  <c r="J24" i="48" s="1"/>
  <c r="K24" i="48" s="1"/>
  <c r="L24" i="48" s="1"/>
  <c r="M24" i="48" s="1"/>
  <c r="N24" i="48" s="1"/>
  <c r="I25" i="48"/>
  <c r="J25" i="48" s="1"/>
  <c r="K25" i="48" s="1"/>
  <c r="L25" i="48" s="1"/>
  <c r="M25" i="48" s="1"/>
  <c r="N25" i="48" s="1"/>
  <c r="I26" i="48"/>
  <c r="J26" i="48" s="1"/>
  <c r="K26" i="48" s="1"/>
  <c r="L26" i="48" s="1"/>
  <c r="M26" i="48" s="1"/>
  <c r="N26" i="48" s="1"/>
  <c r="I22" i="48"/>
  <c r="J22" i="48" s="1"/>
  <c r="K22" i="48" s="1"/>
  <c r="L22" i="48" s="1"/>
  <c r="M22" i="48" s="1"/>
  <c r="N22" i="48" s="1"/>
  <c r="F23" i="38" l="1"/>
  <c r="F58" i="49" s="1"/>
  <c r="I16" i="48" l="1"/>
  <c r="C27" i="22" l="1"/>
  <c r="D57" i="22" l="1"/>
  <c r="D21" i="22" l="1"/>
  <c r="D20" i="22"/>
  <c r="E20" i="22"/>
  <c r="O58" i="29" l="1"/>
  <c r="O57" i="29"/>
  <c r="X60" i="29"/>
  <c r="X64" i="29"/>
  <c r="X68" i="29"/>
  <c r="X72" i="29"/>
  <c r="X76" i="29"/>
  <c r="X80" i="29"/>
  <c r="X84" i="29"/>
  <c r="X88" i="29"/>
  <c r="X92" i="29"/>
  <c r="X96" i="29"/>
  <c r="X100" i="29"/>
  <c r="X104" i="29"/>
  <c r="X108" i="29"/>
  <c r="X112" i="29"/>
  <c r="X116" i="29"/>
  <c r="X120" i="29"/>
  <c r="X124" i="29"/>
  <c r="X128" i="29"/>
  <c r="X132" i="29"/>
  <c r="X136" i="29"/>
  <c r="X140" i="29"/>
  <c r="X144" i="29"/>
  <c r="X148" i="29"/>
  <c r="X152" i="29"/>
  <c r="X156" i="29"/>
  <c r="X62" i="29"/>
  <c r="X70" i="29"/>
  <c r="X78" i="29"/>
  <c r="X86" i="29"/>
  <c r="X98" i="29"/>
  <c r="X106" i="29"/>
  <c r="X114" i="29"/>
  <c r="X122" i="29"/>
  <c r="X130" i="29"/>
  <c r="X142" i="29"/>
  <c r="X150" i="29"/>
  <c r="X154" i="29"/>
  <c r="X67" i="29"/>
  <c r="X83" i="29"/>
  <c r="X95" i="29"/>
  <c r="X107" i="29"/>
  <c r="X119" i="29"/>
  <c r="X131" i="29"/>
  <c r="X143" i="29"/>
  <c r="X155" i="29"/>
  <c r="X61" i="29"/>
  <c r="X65" i="29"/>
  <c r="X69" i="29"/>
  <c r="X73" i="29"/>
  <c r="X77" i="29"/>
  <c r="X81" i="29"/>
  <c r="X85" i="29"/>
  <c r="X89" i="29"/>
  <c r="X93" i="29"/>
  <c r="X97" i="29"/>
  <c r="X101" i="29"/>
  <c r="X105" i="29"/>
  <c r="X109" i="29"/>
  <c r="X113" i="29"/>
  <c r="X117" i="29"/>
  <c r="X121" i="29"/>
  <c r="X125" i="29"/>
  <c r="X129" i="29"/>
  <c r="X133" i="29"/>
  <c r="X137" i="29"/>
  <c r="X141" i="29"/>
  <c r="X145" i="29"/>
  <c r="X149" i="29"/>
  <c r="X153" i="29"/>
  <c r="X58" i="29"/>
  <c r="X66" i="29"/>
  <c r="X74" i="29"/>
  <c r="X82" i="29"/>
  <c r="X90" i="29"/>
  <c r="X94" i="29"/>
  <c r="X102" i="29"/>
  <c r="X110" i="29"/>
  <c r="X118" i="29"/>
  <c r="X126" i="29"/>
  <c r="X134" i="29"/>
  <c r="X138" i="29"/>
  <c r="X146" i="29"/>
  <c r="X57" i="29"/>
  <c r="X63" i="29"/>
  <c r="X75" i="29"/>
  <c r="X87" i="29"/>
  <c r="X99" i="29"/>
  <c r="X111" i="29"/>
  <c r="X123" i="29"/>
  <c r="X135" i="29"/>
  <c r="X147" i="29"/>
  <c r="X59" i="29"/>
  <c r="X71" i="29"/>
  <c r="X79" i="29"/>
  <c r="X91" i="29"/>
  <c r="X103" i="29"/>
  <c r="X115" i="29"/>
  <c r="X127" i="29"/>
  <c r="X139" i="29"/>
  <c r="X151" i="29"/>
  <c r="P57" i="29"/>
  <c r="P58" i="29"/>
  <c r="O61" i="29"/>
  <c r="O65" i="29"/>
  <c r="O69" i="29"/>
  <c r="O73" i="29"/>
  <c r="O77" i="29"/>
  <c r="O81" i="29"/>
  <c r="O85" i="29"/>
  <c r="O89" i="29"/>
  <c r="O93" i="29"/>
  <c r="O97" i="29"/>
  <c r="O101" i="29"/>
  <c r="O105" i="29"/>
  <c r="O109" i="29"/>
  <c r="O113" i="29"/>
  <c r="O117" i="29"/>
  <c r="O121" i="29"/>
  <c r="O125" i="29"/>
  <c r="O129" i="29"/>
  <c r="O133" i="29"/>
  <c r="O137" i="29"/>
  <c r="O141" i="29"/>
  <c r="O145" i="29"/>
  <c r="O149" i="29"/>
  <c r="O153" i="29"/>
  <c r="O59" i="29"/>
  <c r="O63" i="29"/>
  <c r="O71" i="29"/>
  <c r="O79" i="29"/>
  <c r="O91" i="29"/>
  <c r="O99" i="29"/>
  <c r="O107" i="29"/>
  <c r="O115" i="29"/>
  <c r="O127" i="29"/>
  <c r="O135" i="29"/>
  <c r="O143" i="29"/>
  <c r="O155" i="29"/>
  <c r="O68" i="29"/>
  <c r="O80" i="29"/>
  <c r="O92" i="29"/>
  <c r="O104" i="29"/>
  <c r="O116" i="29"/>
  <c r="O128" i="29"/>
  <c r="O136" i="29"/>
  <c r="O148" i="29"/>
  <c r="O62" i="29"/>
  <c r="O66" i="29"/>
  <c r="O70" i="29"/>
  <c r="O74" i="29"/>
  <c r="O78" i="29"/>
  <c r="O82" i="29"/>
  <c r="O86" i="29"/>
  <c r="O90" i="29"/>
  <c r="O94" i="29"/>
  <c r="O98" i="29"/>
  <c r="O102" i="29"/>
  <c r="O106" i="29"/>
  <c r="O110" i="29"/>
  <c r="O114" i="29"/>
  <c r="O118" i="29"/>
  <c r="O122" i="29"/>
  <c r="O126" i="29"/>
  <c r="O130" i="29"/>
  <c r="O134" i="29"/>
  <c r="O138" i="29"/>
  <c r="O142" i="29"/>
  <c r="O146" i="29"/>
  <c r="O150" i="29"/>
  <c r="O154" i="29"/>
  <c r="O67" i="29"/>
  <c r="O75" i="29"/>
  <c r="O83" i="29"/>
  <c r="O87" i="29"/>
  <c r="O95" i="29"/>
  <c r="O103" i="29"/>
  <c r="O111" i="29"/>
  <c r="O119" i="29"/>
  <c r="O123" i="29"/>
  <c r="O131" i="29"/>
  <c r="O139" i="29"/>
  <c r="O147" i="29"/>
  <c r="O151" i="29"/>
  <c r="O60" i="29"/>
  <c r="O72" i="29"/>
  <c r="O84" i="29"/>
  <c r="O96" i="29"/>
  <c r="O108" i="29"/>
  <c r="O124" i="29"/>
  <c r="O140" i="29"/>
  <c r="O152" i="29"/>
  <c r="O64" i="29"/>
  <c r="O76" i="29"/>
  <c r="O88" i="29"/>
  <c r="O100" i="29"/>
  <c r="O112" i="29"/>
  <c r="O120" i="29"/>
  <c r="O132" i="29"/>
  <c r="O144" i="29"/>
  <c r="O156" i="29"/>
  <c r="K84" i="35"/>
  <c r="K74" i="35"/>
  <c r="H20" i="38" s="1"/>
  <c r="K204" i="35" l="1"/>
  <c r="I84" i="18"/>
  <c r="E39" i="22" l="1"/>
  <c r="G23" i="39" l="1"/>
  <c r="G41" i="39"/>
  <c r="G45" i="39"/>
  <c r="G54" i="39"/>
  <c r="C5" i="31" l="1"/>
  <c r="C5" i="28" s="1"/>
  <c r="J219" i="18" l="1"/>
  <c r="I219" i="18"/>
  <c r="J273" i="18" l="1"/>
  <c r="I273" i="18"/>
  <c r="H78" i="38" s="1"/>
  <c r="H222" i="18"/>
  <c r="I154" i="18"/>
  <c r="J154" i="18" s="1"/>
  <c r="K154" i="18" s="1"/>
  <c r="L154" i="18" s="1"/>
  <c r="M154" i="18" s="1"/>
  <c r="N154" i="18" s="1"/>
  <c r="I153" i="18"/>
  <c r="J153" i="18" s="1"/>
  <c r="K153" i="18" s="1"/>
  <c r="L153" i="18" s="1"/>
  <c r="M153" i="18" s="1"/>
  <c r="N153" i="18" s="1"/>
  <c r="I152" i="18"/>
  <c r="J152" i="18" s="1"/>
  <c r="K152" i="18" s="1"/>
  <c r="L152" i="18" s="1"/>
  <c r="M152" i="18" s="1"/>
  <c r="N152" i="18" s="1"/>
  <c r="K273" i="18" l="1"/>
  <c r="K219" i="18"/>
  <c r="H219" i="18"/>
  <c r="L219" i="18" l="1"/>
  <c r="I151" i="18"/>
  <c r="J151" i="18" s="1"/>
  <c r="K151" i="18" s="1"/>
  <c r="L151" i="18" s="1"/>
  <c r="M151" i="18" s="1"/>
  <c r="N151" i="18" s="1"/>
  <c r="N219" i="18" l="1"/>
  <c r="M17" i="44"/>
  <c r="N273" i="18"/>
  <c r="M273" i="18"/>
  <c r="M219" i="18"/>
  <c r="L273" i="18"/>
  <c r="F97" i="49" l="1"/>
  <c r="F96" i="49"/>
  <c r="D37" i="22"/>
  <c r="F119" i="49" l="1"/>
  <c r="G32" i="37"/>
  <c r="H32" i="37"/>
  <c r="I32" i="37"/>
  <c r="J32" i="37"/>
  <c r="K32" i="37"/>
  <c r="L32" i="37"/>
  <c r="M32" i="37"/>
  <c r="G33" i="37"/>
  <c r="H33" i="37"/>
  <c r="I33" i="37"/>
  <c r="J33" i="37"/>
  <c r="K33" i="37"/>
  <c r="L33" i="37"/>
  <c r="M33" i="37"/>
  <c r="F33" i="37"/>
  <c r="F32" i="37"/>
  <c r="G23" i="37"/>
  <c r="H23" i="37"/>
  <c r="I23" i="37"/>
  <c r="J23" i="37"/>
  <c r="K23" i="37"/>
  <c r="L23" i="37"/>
  <c r="M23" i="37"/>
  <c r="G24" i="37"/>
  <c r="H24" i="37"/>
  <c r="I24" i="37"/>
  <c r="J24" i="37"/>
  <c r="K24" i="37"/>
  <c r="L24" i="37"/>
  <c r="M24" i="37"/>
  <c r="F24" i="37"/>
  <c r="F23" i="37"/>
  <c r="N27" i="48"/>
  <c r="N47" i="48"/>
  <c r="N67" i="48"/>
  <c r="N87" i="48"/>
  <c r="N107" i="48"/>
  <c r="N130" i="48"/>
  <c r="N150" i="48"/>
  <c r="N170" i="48"/>
  <c r="N190" i="48"/>
  <c r="N210" i="48"/>
  <c r="N217" i="48" l="1"/>
  <c r="N39" i="24"/>
  <c r="I147" i="18"/>
  <c r="J147" i="18" s="1"/>
  <c r="K147" i="18" s="1"/>
  <c r="L147" i="18" s="1"/>
  <c r="M147" i="18" s="1"/>
  <c r="N147" i="18" s="1"/>
  <c r="L17" i="44" l="1"/>
  <c r="E36" i="31" l="1"/>
  <c r="E35" i="31"/>
  <c r="L56" i="31"/>
  <c r="K56" i="31"/>
  <c r="J56" i="31"/>
  <c r="I56" i="31"/>
  <c r="H56" i="31"/>
  <c r="G35" i="31" l="1"/>
  <c r="H35" i="31"/>
  <c r="H36" i="31"/>
  <c r="G36" i="31"/>
  <c r="H57" i="31"/>
  <c r="C5" i="18"/>
  <c r="C5" i="35"/>
  <c r="C5" i="39"/>
  <c r="D4" i="29"/>
  <c r="C5" i="49"/>
  <c r="C5" i="24"/>
  <c r="C5" i="48"/>
  <c r="C5" i="40"/>
  <c r="C5" i="38"/>
  <c r="C56" i="38" s="1"/>
  <c r="C5" i="37"/>
  <c r="C5" i="44"/>
  <c r="C6" i="36"/>
  <c r="C5" i="51"/>
  <c r="C5" i="13"/>
  <c r="F98" i="49"/>
  <c r="H58" i="31"/>
  <c r="H60" i="31"/>
  <c r="H59" i="31"/>
  <c r="H24" i="31"/>
  <c r="I36" i="31" l="1"/>
  <c r="I35" i="31"/>
  <c r="H42" i="31"/>
  <c r="H41" i="31"/>
  <c r="I57" i="31"/>
  <c r="J23" i="31"/>
  <c r="I60" i="31"/>
  <c r="J22" i="31"/>
  <c r="I59" i="31"/>
  <c r="I24" i="31"/>
  <c r="J21" i="31"/>
  <c r="I58" i="31"/>
  <c r="E37" i="22"/>
  <c r="J36" i="31" l="1"/>
  <c r="J35" i="31"/>
  <c r="I41" i="31"/>
  <c r="J57" i="31"/>
  <c r="I42" i="31"/>
  <c r="K22" i="31"/>
  <c r="J59" i="31"/>
  <c r="J58" i="31"/>
  <c r="J24" i="31"/>
  <c r="K21" i="31"/>
  <c r="K23" i="31"/>
  <c r="J60" i="31"/>
  <c r="E41" i="22"/>
  <c r="F41" i="22" s="1"/>
  <c r="F35" i="22"/>
  <c r="F37" i="22"/>
  <c r="L23" i="31" l="1"/>
  <c r="M23" i="31" s="1"/>
  <c r="K35" i="31"/>
  <c r="K36" i="31"/>
  <c r="L21" i="31"/>
  <c r="L22" i="31"/>
  <c r="J41" i="31"/>
  <c r="M22" i="31"/>
  <c r="L57" i="31"/>
  <c r="K57" i="31"/>
  <c r="K58" i="31"/>
  <c r="K24" i="31"/>
  <c r="L60" i="31"/>
  <c r="K60" i="31"/>
  <c r="J42" i="31"/>
  <c r="L59" i="31"/>
  <c r="K59" i="31"/>
  <c r="F39" i="22"/>
  <c r="G39" i="22"/>
  <c r="G35" i="22"/>
  <c r="I16" i="24" s="1"/>
  <c r="M21" i="31" l="1"/>
  <c r="M24" i="31" s="1"/>
  <c r="M35" i="31"/>
  <c r="M36" i="31"/>
  <c r="L36" i="31"/>
  <c r="L35" i="31"/>
  <c r="K41" i="31"/>
  <c r="M60" i="31"/>
  <c r="M58" i="31"/>
  <c r="M59" i="31"/>
  <c r="L24" i="31"/>
  <c r="L58" i="31"/>
  <c r="K42" i="31"/>
  <c r="L41" i="31" l="1"/>
  <c r="M41" i="31"/>
  <c r="M42" i="31"/>
  <c r="M61" i="31"/>
  <c r="L42" i="31"/>
  <c r="N229" i="18" l="1"/>
  <c r="D44" i="22"/>
  <c r="O16" i="24" l="1"/>
  <c r="N38" i="18"/>
  <c r="J58" i="29"/>
  <c r="K58" i="29" s="1"/>
  <c r="L58" i="29" s="1"/>
  <c r="M58" i="29" s="1"/>
  <c r="J57" i="29"/>
  <c r="K57" i="29" s="1"/>
  <c r="L57" i="29" s="1"/>
  <c r="M57" i="29" s="1"/>
  <c r="AD58" i="29" l="1"/>
  <c r="AD57" i="29"/>
  <c r="AC57" i="29"/>
  <c r="AC58" i="29"/>
  <c r="K144" i="35"/>
  <c r="K145" i="35"/>
  <c r="L145" i="35" s="1"/>
  <c r="M145" i="35" s="1"/>
  <c r="N145" i="35" s="1"/>
  <c r="O145" i="35" s="1"/>
  <c r="K146" i="35"/>
  <c r="L146" i="35" s="1"/>
  <c r="M146" i="35" s="1"/>
  <c r="N146" i="35" s="1"/>
  <c r="O146" i="35" s="1"/>
  <c r="K147" i="35"/>
  <c r="L147" i="35" s="1"/>
  <c r="M147" i="35" s="1"/>
  <c r="N147" i="35" s="1"/>
  <c r="O147" i="35" s="1"/>
  <c r="K143" i="35"/>
  <c r="L143" i="35" s="1"/>
  <c r="M143" i="35" s="1"/>
  <c r="N143" i="35" s="1"/>
  <c r="O143" i="35" s="1"/>
  <c r="K120" i="35"/>
  <c r="L120" i="35" s="1"/>
  <c r="M120" i="35" s="1"/>
  <c r="N120" i="35" s="1"/>
  <c r="O120" i="35" s="1"/>
  <c r="K121" i="35"/>
  <c r="L121" i="35" s="1"/>
  <c r="M121" i="35" s="1"/>
  <c r="N121" i="35" s="1"/>
  <c r="O121" i="35" s="1"/>
  <c r="K119" i="35"/>
  <c r="L119" i="35" s="1"/>
  <c r="M119" i="35" s="1"/>
  <c r="N119" i="35" s="1"/>
  <c r="O119" i="35" s="1"/>
  <c r="K76" i="35"/>
  <c r="L76" i="35" s="1"/>
  <c r="M76" i="35" s="1"/>
  <c r="N76" i="35" s="1"/>
  <c r="O76" i="35" s="1"/>
  <c r="L74" i="35"/>
  <c r="K75" i="35"/>
  <c r="L75" i="35" s="1"/>
  <c r="M75" i="35" s="1"/>
  <c r="N75" i="35" s="1"/>
  <c r="O75" i="35" s="1"/>
  <c r="K77" i="35"/>
  <c r="L77" i="35" s="1"/>
  <c r="M77" i="35" s="1"/>
  <c r="N77" i="35" s="1"/>
  <c r="O77" i="35" s="1"/>
  <c r="K78" i="35"/>
  <c r="L78" i="35" s="1"/>
  <c r="M78" i="35" s="1"/>
  <c r="N78" i="35" s="1"/>
  <c r="O78" i="35" s="1"/>
  <c r="I201" i="48"/>
  <c r="J201" i="48" s="1"/>
  <c r="K201" i="48" s="1"/>
  <c r="L201" i="48" s="1"/>
  <c r="M201" i="48" s="1"/>
  <c r="N201" i="48" s="1"/>
  <c r="I200" i="48"/>
  <c r="J200" i="48" s="1"/>
  <c r="K200" i="48" s="1"/>
  <c r="L200" i="48" s="1"/>
  <c r="M200" i="48" s="1"/>
  <c r="N200" i="48" s="1"/>
  <c r="I199" i="48"/>
  <c r="J199" i="48" s="1"/>
  <c r="K199" i="48" s="1"/>
  <c r="L199" i="48" s="1"/>
  <c r="M199" i="48" s="1"/>
  <c r="N199" i="48" s="1"/>
  <c r="I198" i="48"/>
  <c r="J198" i="48" s="1"/>
  <c r="K198" i="48" s="1"/>
  <c r="L198" i="48" s="1"/>
  <c r="M198" i="48" s="1"/>
  <c r="N198" i="48" s="1"/>
  <c r="I197" i="48"/>
  <c r="J197" i="48" s="1"/>
  <c r="K197" i="48" s="1"/>
  <c r="L197" i="48" s="1"/>
  <c r="M197" i="48" s="1"/>
  <c r="N197" i="48" s="1"/>
  <c r="I181" i="48"/>
  <c r="J181" i="48" s="1"/>
  <c r="K181" i="48" s="1"/>
  <c r="L181" i="48" s="1"/>
  <c r="M181" i="48" s="1"/>
  <c r="N181" i="48" s="1"/>
  <c r="I180" i="48"/>
  <c r="J180" i="48" s="1"/>
  <c r="K180" i="48" s="1"/>
  <c r="L180" i="48" s="1"/>
  <c r="M180" i="48" s="1"/>
  <c r="N180" i="48" s="1"/>
  <c r="I179" i="48"/>
  <c r="J179" i="48" s="1"/>
  <c r="K179" i="48" s="1"/>
  <c r="L179" i="48" s="1"/>
  <c r="M179" i="48" s="1"/>
  <c r="N179" i="48" s="1"/>
  <c r="I178" i="48"/>
  <c r="J178" i="48" s="1"/>
  <c r="K178" i="48" s="1"/>
  <c r="L178" i="48" s="1"/>
  <c r="M178" i="48" s="1"/>
  <c r="N178" i="48" s="1"/>
  <c r="I177" i="48"/>
  <c r="J177" i="48" s="1"/>
  <c r="K177" i="48" s="1"/>
  <c r="L177" i="48" s="1"/>
  <c r="M177" i="48" s="1"/>
  <c r="N177" i="48" s="1"/>
  <c r="I161" i="48"/>
  <c r="J161" i="48" s="1"/>
  <c r="K161" i="48" s="1"/>
  <c r="L161" i="48" s="1"/>
  <c r="M161" i="48" s="1"/>
  <c r="N161" i="48" s="1"/>
  <c r="I160" i="48"/>
  <c r="J160" i="48" s="1"/>
  <c r="K160" i="48" s="1"/>
  <c r="L160" i="48" s="1"/>
  <c r="M160" i="48" s="1"/>
  <c r="N160" i="48" s="1"/>
  <c r="I159" i="48"/>
  <c r="J159" i="48" s="1"/>
  <c r="K159" i="48" s="1"/>
  <c r="L159" i="48" s="1"/>
  <c r="M159" i="48" s="1"/>
  <c r="N159" i="48" s="1"/>
  <c r="I158" i="48"/>
  <c r="J158" i="48" s="1"/>
  <c r="K158" i="48" s="1"/>
  <c r="L158" i="48" s="1"/>
  <c r="M158" i="48" s="1"/>
  <c r="N158" i="48" s="1"/>
  <c r="I157" i="48"/>
  <c r="J157" i="48" s="1"/>
  <c r="K157" i="48" s="1"/>
  <c r="L157" i="48" s="1"/>
  <c r="M157" i="48" s="1"/>
  <c r="N157" i="48" s="1"/>
  <c r="I141" i="48"/>
  <c r="J141" i="48" s="1"/>
  <c r="K141" i="48" s="1"/>
  <c r="L141" i="48" s="1"/>
  <c r="M141" i="48" s="1"/>
  <c r="N141" i="48" s="1"/>
  <c r="I140" i="48"/>
  <c r="J140" i="48" s="1"/>
  <c r="K140" i="48" s="1"/>
  <c r="L140" i="48" s="1"/>
  <c r="M140" i="48" s="1"/>
  <c r="N140" i="48" s="1"/>
  <c r="I139" i="48"/>
  <c r="J139" i="48" s="1"/>
  <c r="K139" i="48" s="1"/>
  <c r="L139" i="48" s="1"/>
  <c r="M139" i="48" s="1"/>
  <c r="N139" i="48" s="1"/>
  <c r="I138" i="48"/>
  <c r="J138" i="48" s="1"/>
  <c r="K138" i="48" s="1"/>
  <c r="L138" i="48" s="1"/>
  <c r="M138" i="48" s="1"/>
  <c r="N138" i="48" s="1"/>
  <c r="I137" i="48"/>
  <c r="J137" i="48" s="1"/>
  <c r="K137" i="48" s="1"/>
  <c r="L137" i="48" s="1"/>
  <c r="M137" i="48" s="1"/>
  <c r="N137" i="48" s="1"/>
  <c r="I121" i="48"/>
  <c r="J121" i="48" s="1"/>
  <c r="K121" i="48" s="1"/>
  <c r="L121" i="48" s="1"/>
  <c r="M121" i="48" s="1"/>
  <c r="N121" i="48" s="1"/>
  <c r="I120" i="48"/>
  <c r="J120" i="48" s="1"/>
  <c r="K120" i="48" s="1"/>
  <c r="L120" i="48" s="1"/>
  <c r="M120" i="48" s="1"/>
  <c r="N120" i="48" s="1"/>
  <c r="I119" i="48"/>
  <c r="J119" i="48" s="1"/>
  <c r="K119" i="48" s="1"/>
  <c r="L119" i="48" s="1"/>
  <c r="M119" i="48" s="1"/>
  <c r="N119" i="48" s="1"/>
  <c r="I118" i="48"/>
  <c r="J118" i="48" s="1"/>
  <c r="K118" i="48" s="1"/>
  <c r="L118" i="48" s="1"/>
  <c r="M118" i="48" s="1"/>
  <c r="N118" i="48" s="1"/>
  <c r="I117" i="48"/>
  <c r="J117" i="48" s="1"/>
  <c r="K117" i="48" s="1"/>
  <c r="L117" i="48" s="1"/>
  <c r="M117" i="48" s="1"/>
  <c r="N117" i="48" s="1"/>
  <c r="I98" i="48"/>
  <c r="J98" i="48" s="1"/>
  <c r="K98" i="48" s="1"/>
  <c r="L98" i="48" s="1"/>
  <c r="M98" i="48" s="1"/>
  <c r="N98" i="48" s="1"/>
  <c r="I97" i="48"/>
  <c r="J97" i="48" s="1"/>
  <c r="K97" i="48" s="1"/>
  <c r="L97" i="48" s="1"/>
  <c r="M97" i="48" s="1"/>
  <c r="N97" i="48" s="1"/>
  <c r="I96" i="48"/>
  <c r="J96" i="48" s="1"/>
  <c r="K96" i="48" s="1"/>
  <c r="L96" i="48" s="1"/>
  <c r="M96" i="48" s="1"/>
  <c r="N96" i="48" s="1"/>
  <c r="I95" i="48"/>
  <c r="J95" i="48" s="1"/>
  <c r="K95" i="48" s="1"/>
  <c r="L95" i="48" s="1"/>
  <c r="M95" i="48" s="1"/>
  <c r="N95" i="48" s="1"/>
  <c r="I94" i="48"/>
  <c r="J94" i="48" s="1"/>
  <c r="K94" i="48" s="1"/>
  <c r="L94" i="48" s="1"/>
  <c r="M94" i="48" s="1"/>
  <c r="N94" i="48" s="1"/>
  <c r="I78" i="48"/>
  <c r="J78" i="48" s="1"/>
  <c r="K78" i="48" s="1"/>
  <c r="L78" i="48" s="1"/>
  <c r="M78" i="48" s="1"/>
  <c r="N78" i="48" s="1"/>
  <c r="I77" i="48"/>
  <c r="J77" i="48" s="1"/>
  <c r="K77" i="48" s="1"/>
  <c r="L77" i="48" s="1"/>
  <c r="M77" i="48" s="1"/>
  <c r="N77" i="48" s="1"/>
  <c r="I76" i="48"/>
  <c r="J76" i="48" s="1"/>
  <c r="K76" i="48" s="1"/>
  <c r="L76" i="48" s="1"/>
  <c r="M76" i="48" s="1"/>
  <c r="N76" i="48" s="1"/>
  <c r="I75" i="48"/>
  <c r="J75" i="48" s="1"/>
  <c r="K75" i="48" s="1"/>
  <c r="L75" i="48" s="1"/>
  <c r="M75" i="48" s="1"/>
  <c r="N75" i="48" s="1"/>
  <c r="I74" i="48"/>
  <c r="J74" i="48" s="1"/>
  <c r="K74" i="48" s="1"/>
  <c r="L74" i="48" s="1"/>
  <c r="M74" i="48" s="1"/>
  <c r="N74" i="48" s="1"/>
  <c r="I58" i="48"/>
  <c r="J58" i="48" s="1"/>
  <c r="K58" i="48" s="1"/>
  <c r="L58" i="48" s="1"/>
  <c r="M58" i="48" s="1"/>
  <c r="N58" i="48" s="1"/>
  <c r="I57" i="48"/>
  <c r="J57" i="48" s="1"/>
  <c r="K57" i="48" s="1"/>
  <c r="L57" i="48" s="1"/>
  <c r="M57" i="48" s="1"/>
  <c r="N57" i="48" s="1"/>
  <c r="I56" i="48"/>
  <c r="J56" i="48" s="1"/>
  <c r="K56" i="48" s="1"/>
  <c r="L56" i="48" s="1"/>
  <c r="M56" i="48" s="1"/>
  <c r="N56" i="48" s="1"/>
  <c r="I55" i="48"/>
  <c r="J55" i="48" s="1"/>
  <c r="K55" i="48" s="1"/>
  <c r="L55" i="48" s="1"/>
  <c r="M55" i="48" s="1"/>
  <c r="N55" i="48" s="1"/>
  <c r="I54" i="48"/>
  <c r="J54" i="48" s="1"/>
  <c r="K54" i="48" s="1"/>
  <c r="L54" i="48" s="1"/>
  <c r="M54" i="48" s="1"/>
  <c r="N54" i="48" s="1"/>
  <c r="I38" i="48"/>
  <c r="J38" i="48" s="1"/>
  <c r="K38" i="48" s="1"/>
  <c r="L38" i="48" s="1"/>
  <c r="M38" i="48" s="1"/>
  <c r="N38" i="48" s="1"/>
  <c r="I37" i="48"/>
  <c r="J37" i="48" s="1"/>
  <c r="K37" i="48" s="1"/>
  <c r="L37" i="48" s="1"/>
  <c r="M37" i="48" s="1"/>
  <c r="N37" i="48" s="1"/>
  <c r="I36" i="48"/>
  <c r="J36" i="48" s="1"/>
  <c r="K36" i="48" s="1"/>
  <c r="L36" i="48" s="1"/>
  <c r="M36" i="48" s="1"/>
  <c r="N36" i="48" s="1"/>
  <c r="I35" i="48"/>
  <c r="J35" i="48" s="1"/>
  <c r="K35" i="48" s="1"/>
  <c r="L35" i="48" s="1"/>
  <c r="M35" i="48" s="1"/>
  <c r="N35" i="48" s="1"/>
  <c r="I34" i="48"/>
  <c r="J34" i="48" s="1"/>
  <c r="K34" i="48" s="1"/>
  <c r="L34" i="48" s="1"/>
  <c r="M34" i="48" s="1"/>
  <c r="N34" i="48" s="1"/>
  <c r="I15" i="48"/>
  <c r="J15" i="48" s="1"/>
  <c r="K15" i="48" s="1"/>
  <c r="L15" i="48" s="1"/>
  <c r="M15" i="48" s="1"/>
  <c r="N15" i="48" s="1"/>
  <c r="J16" i="48"/>
  <c r="K16" i="48" s="1"/>
  <c r="L16" i="48" s="1"/>
  <c r="M16" i="48" s="1"/>
  <c r="N16" i="48" s="1"/>
  <c r="I17" i="48"/>
  <c r="J17" i="48" s="1"/>
  <c r="K17" i="48" s="1"/>
  <c r="L17" i="48" s="1"/>
  <c r="M17" i="48" s="1"/>
  <c r="N17" i="48" s="1"/>
  <c r="I18" i="48"/>
  <c r="J18" i="48" s="1"/>
  <c r="K18" i="48" s="1"/>
  <c r="L18" i="48" s="1"/>
  <c r="M18" i="48" s="1"/>
  <c r="N18" i="48" s="1"/>
  <c r="I14" i="48"/>
  <c r="J14" i="48" s="1"/>
  <c r="K14" i="48" s="1"/>
  <c r="L14" i="48" s="1"/>
  <c r="M14" i="48" s="1"/>
  <c r="N14" i="48" s="1"/>
  <c r="N39" i="48" l="1"/>
  <c r="N163" i="18" s="1"/>
  <c r="N59" i="48"/>
  <c r="N164" i="18" s="1"/>
  <c r="N122" i="48"/>
  <c r="N167" i="18" s="1"/>
  <c r="N142" i="48"/>
  <c r="N168" i="18" s="1"/>
  <c r="N182" i="48"/>
  <c r="N170" i="18" s="1"/>
  <c r="N202" i="48"/>
  <c r="N171" i="18" s="1"/>
  <c r="N79" i="48"/>
  <c r="N165" i="18" s="1"/>
  <c r="N162" i="48"/>
  <c r="N169" i="18" s="1"/>
  <c r="N19" i="48"/>
  <c r="N162" i="18" s="1"/>
  <c r="N99" i="48"/>
  <c r="N166" i="18" s="1"/>
  <c r="L144" i="35"/>
  <c r="O122" i="35"/>
  <c r="M74" i="35"/>
  <c r="H157" i="31"/>
  <c r="H140" i="31"/>
  <c r="H141" i="31"/>
  <c r="H137" i="31"/>
  <c r="H133" i="31"/>
  <c r="H120" i="31"/>
  <c r="H121" i="31"/>
  <c r="H59" i="29"/>
  <c r="H60" i="29"/>
  <c r="H61" i="29"/>
  <c r="H62" i="29"/>
  <c r="H63" i="29"/>
  <c r="H64" i="29"/>
  <c r="N172" i="18" l="1"/>
  <c r="N214" i="48"/>
  <c r="I59" i="29"/>
  <c r="J59" i="29" s="1"/>
  <c r="K59" i="29" s="1"/>
  <c r="L59" i="29" s="1"/>
  <c r="M59" i="29" s="1"/>
  <c r="P59" i="29"/>
  <c r="P64" i="29"/>
  <c r="I64" i="29"/>
  <c r="J64" i="29" s="1"/>
  <c r="K64" i="29" s="1"/>
  <c r="L64" i="29" s="1"/>
  <c r="M64" i="29" s="1"/>
  <c r="AD64" i="29" s="1"/>
  <c r="I60" i="29"/>
  <c r="J60" i="29" s="1"/>
  <c r="K60" i="29" s="1"/>
  <c r="L60" i="29" s="1"/>
  <c r="M60" i="29" s="1"/>
  <c r="P60" i="29"/>
  <c r="I63" i="29"/>
  <c r="J63" i="29" s="1"/>
  <c r="K63" i="29" s="1"/>
  <c r="L63" i="29" s="1"/>
  <c r="M63" i="29" s="1"/>
  <c r="AD63" i="29" s="1"/>
  <c r="P63" i="29"/>
  <c r="I62" i="29"/>
  <c r="J62" i="29" s="1"/>
  <c r="K62" i="29" s="1"/>
  <c r="L62" i="29" s="1"/>
  <c r="M62" i="29" s="1"/>
  <c r="AD62" i="29" s="1"/>
  <c r="P62" i="29"/>
  <c r="I61" i="29"/>
  <c r="J61" i="29" s="1"/>
  <c r="K61" i="29" s="1"/>
  <c r="L61" i="29" s="1"/>
  <c r="M61" i="29" s="1"/>
  <c r="AD61" i="29" s="1"/>
  <c r="P61" i="29"/>
  <c r="M144" i="35"/>
  <c r="N74" i="35"/>
  <c r="I120" i="31"/>
  <c r="I140" i="31"/>
  <c r="H124" i="31"/>
  <c r="H144" i="31"/>
  <c r="I121" i="31"/>
  <c r="H131" i="31"/>
  <c r="I141" i="31"/>
  <c r="H119" i="31"/>
  <c r="H132" i="31"/>
  <c r="H136" i="31"/>
  <c r="H139" i="31"/>
  <c r="H156" i="31"/>
  <c r="H155" i="31"/>
  <c r="H125" i="31"/>
  <c r="H123" i="31"/>
  <c r="I133" i="31"/>
  <c r="I137" i="31"/>
  <c r="H145" i="31"/>
  <c r="H143" i="31"/>
  <c r="I157" i="31"/>
  <c r="H159" i="31"/>
  <c r="N213" i="18" l="1"/>
  <c r="N267" i="18" s="1"/>
  <c r="AD60" i="29"/>
  <c r="AD59" i="29"/>
  <c r="AC63" i="29"/>
  <c r="AC64" i="29"/>
  <c r="AC62" i="29"/>
  <c r="AC60" i="29"/>
  <c r="AC61" i="29"/>
  <c r="AC59" i="29"/>
  <c r="N144" i="35"/>
  <c r="O74" i="35"/>
  <c r="L61" i="31"/>
  <c r="O22" i="24" s="1"/>
  <c r="J99" i="31"/>
  <c r="I145" i="31"/>
  <c r="J141" i="31"/>
  <c r="J140" i="31"/>
  <c r="I159" i="31"/>
  <c r="J137" i="31"/>
  <c r="I155" i="31"/>
  <c r="I132" i="31"/>
  <c r="I131" i="31"/>
  <c r="J101" i="31"/>
  <c r="I156" i="31"/>
  <c r="I119" i="31"/>
  <c r="I124" i="31"/>
  <c r="J157" i="31"/>
  <c r="J121" i="31"/>
  <c r="I125" i="31"/>
  <c r="J133" i="31"/>
  <c r="I136" i="31"/>
  <c r="I143" i="31"/>
  <c r="I123" i="31"/>
  <c r="I139" i="31"/>
  <c r="J100" i="31"/>
  <c r="I144" i="31"/>
  <c r="J120" i="31"/>
  <c r="O144" i="35" l="1"/>
  <c r="K99" i="31"/>
  <c r="J124" i="31"/>
  <c r="K141" i="31"/>
  <c r="K120" i="31"/>
  <c r="J136" i="31"/>
  <c r="J119" i="31"/>
  <c r="K140" i="31"/>
  <c r="J145" i="31"/>
  <c r="K121" i="31"/>
  <c r="J144" i="31"/>
  <c r="J139" i="31"/>
  <c r="J143" i="31"/>
  <c r="K133" i="31"/>
  <c r="J156" i="31"/>
  <c r="J155" i="31"/>
  <c r="J131" i="31"/>
  <c r="J159" i="31"/>
  <c r="K100" i="31"/>
  <c r="J123" i="31"/>
  <c r="J125" i="31"/>
  <c r="K157" i="31"/>
  <c r="K101" i="31"/>
  <c r="J132" i="31"/>
  <c r="K137" i="31"/>
  <c r="L99" i="31" l="1"/>
  <c r="K123" i="31"/>
  <c r="K155" i="31"/>
  <c r="K139" i="31"/>
  <c r="K125" i="31"/>
  <c r="K131" i="31"/>
  <c r="K143" i="31"/>
  <c r="K145" i="31"/>
  <c r="L120" i="31"/>
  <c r="L140" i="31"/>
  <c r="L141" i="31"/>
  <c r="L137" i="31"/>
  <c r="K159" i="31"/>
  <c r="L133" i="31"/>
  <c r="L121" i="31"/>
  <c r="K136" i="31"/>
  <c r="K132" i="31"/>
  <c r="L157" i="31"/>
  <c r="L101" i="31"/>
  <c r="L100" i="31"/>
  <c r="K156" i="31"/>
  <c r="K144" i="31"/>
  <c r="K119" i="31"/>
  <c r="K124" i="31"/>
  <c r="D194" i="48"/>
  <c r="D174" i="48"/>
  <c r="D154" i="48"/>
  <c r="D134" i="48"/>
  <c r="D114" i="48"/>
  <c r="D91" i="48"/>
  <c r="D71" i="48"/>
  <c r="D51" i="48"/>
  <c r="D31" i="48"/>
  <c r="M210" i="48"/>
  <c r="O180" i="35" s="1"/>
  <c r="L210" i="48"/>
  <c r="N180" i="35" s="1"/>
  <c r="K210" i="48"/>
  <c r="M180" i="35" s="1"/>
  <c r="J210" i="48"/>
  <c r="L180" i="35" s="1"/>
  <c r="I210" i="48"/>
  <c r="K180" i="35" s="1"/>
  <c r="H210" i="48"/>
  <c r="M190" i="48"/>
  <c r="O179" i="35" s="1"/>
  <c r="L190" i="48"/>
  <c r="N179" i="35" s="1"/>
  <c r="K190" i="48"/>
  <c r="M179" i="35" s="1"/>
  <c r="J190" i="48"/>
  <c r="L179" i="35" s="1"/>
  <c r="I190" i="48"/>
  <c r="K179" i="35" s="1"/>
  <c r="H190" i="48"/>
  <c r="H182" i="48"/>
  <c r="M170" i="48"/>
  <c r="O178" i="35" s="1"/>
  <c r="L170" i="48"/>
  <c r="N178" i="35" s="1"/>
  <c r="K170" i="48"/>
  <c r="M178" i="35" s="1"/>
  <c r="J170" i="48"/>
  <c r="L178" i="35" s="1"/>
  <c r="I170" i="48"/>
  <c r="K178" i="35" s="1"/>
  <c r="H170" i="48"/>
  <c r="H162" i="48"/>
  <c r="M150" i="48"/>
  <c r="O177" i="35" s="1"/>
  <c r="L150" i="48"/>
  <c r="N177" i="35" s="1"/>
  <c r="K150" i="48"/>
  <c r="M177" i="35" s="1"/>
  <c r="J150" i="48"/>
  <c r="L177" i="35" s="1"/>
  <c r="I150" i="48"/>
  <c r="K177" i="35" s="1"/>
  <c r="H150" i="48"/>
  <c r="H142" i="48"/>
  <c r="M130" i="48"/>
  <c r="O176" i="35" s="1"/>
  <c r="L130" i="48"/>
  <c r="N176" i="35" s="1"/>
  <c r="K130" i="48"/>
  <c r="M176" i="35" s="1"/>
  <c r="J130" i="48"/>
  <c r="L176" i="35" s="1"/>
  <c r="I130" i="48"/>
  <c r="K176" i="35" s="1"/>
  <c r="H130" i="48"/>
  <c r="M107" i="48"/>
  <c r="O175" i="35" s="1"/>
  <c r="L107" i="48"/>
  <c r="N175" i="35" s="1"/>
  <c r="K107" i="48"/>
  <c r="M175" i="35" s="1"/>
  <c r="J107" i="48"/>
  <c r="L175" i="35" s="1"/>
  <c r="I107" i="48"/>
  <c r="K175" i="35" s="1"/>
  <c r="H107" i="48"/>
  <c r="M87" i="48"/>
  <c r="O174" i="35" s="1"/>
  <c r="L87" i="48"/>
  <c r="N174" i="35" s="1"/>
  <c r="K87" i="48"/>
  <c r="M174" i="35" s="1"/>
  <c r="J87" i="48"/>
  <c r="L174" i="35" s="1"/>
  <c r="I87" i="48"/>
  <c r="K174" i="35" s="1"/>
  <c r="H87" i="48"/>
  <c r="M67" i="48"/>
  <c r="O173" i="35" s="1"/>
  <c r="L67" i="48"/>
  <c r="N173" i="35" s="1"/>
  <c r="K67" i="48"/>
  <c r="M173" i="35" s="1"/>
  <c r="J67" i="48"/>
  <c r="L173" i="35" s="1"/>
  <c r="I67" i="48"/>
  <c r="K173" i="35" s="1"/>
  <c r="H67" i="48"/>
  <c r="H59" i="48"/>
  <c r="M47" i="48"/>
  <c r="O172" i="35" s="1"/>
  <c r="L47" i="48"/>
  <c r="N172" i="35" s="1"/>
  <c r="K47" i="48"/>
  <c r="M172" i="35" s="1"/>
  <c r="J47" i="48"/>
  <c r="L172" i="35" s="1"/>
  <c r="I47" i="48"/>
  <c r="K172" i="35" s="1"/>
  <c r="H47" i="48"/>
  <c r="H27" i="48"/>
  <c r="I27" i="48"/>
  <c r="K171" i="35" s="1"/>
  <c r="J27" i="48"/>
  <c r="K27" i="48"/>
  <c r="M171" i="35" s="1"/>
  <c r="L27" i="48"/>
  <c r="N171" i="35" s="1"/>
  <c r="M27" i="48"/>
  <c r="O171" i="35" s="1"/>
  <c r="D11" i="48"/>
  <c r="M157" i="31" l="1"/>
  <c r="M133" i="31"/>
  <c r="M140" i="31"/>
  <c r="M120" i="31"/>
  <c r="M137" i="31"/>
  <c r="M121" i="31"/>
  <c r="M141" i="31"/>
  <c r="M99" i="31"/>
  <c r="M100" i="31"/>
  <c r="M101" i="31"/>
  <c r="H170" i="18"/>
  <c r="J217" i="48"/>
  <c r="O181" i="35"/>
  <c r="L30" i="38" s="1"/>
  <c r="M217" i="48"/>
  <c r="L82" i="38" s="1"/>
  <c r="I217" i="48"/>
  <c r="L217" i="48"/>
  <c r="H217" i="48"/>
  <c r="K217" i="48"/>
  <c r="L171" i="35"/>
  <c r="L119" i="31"/>
  <c r="L124" i="31"/>
  <c r="L136" i="31"/>
  <c r="L145" i="31"/>
  <c r="L139" i="31"/>
  <c r="L143" i="31"/>
  <c r="L155" i="31"/>
  <c r="L156" i="31"/>
  <c r="L132" i="31"/>
  <c r="L159" i="31"/>
  <c r="L125" i="31"/>
  <c r="L144" i="31"/>
  <c r="L131" i="31"/>
  <c r="L123" i="31"/>
  <c r="H122" i="48"/>
  <c r="H167" i="18" s="1"/>
  <c r="H99" i="48"/>
  <c r="H166" i="18" s="1"/>
  <c r="H202" i="48"/>
  <c r="H39" i="48"/>
  <c r="I39" i="48"/>
  <c r="H79" i="48"/>
  <c r="I202" i="48"/>
  <c r="I182" i="48"/>
  <c r="J162" i="48"/>
  <c r="I162" i="48"/>
  <c r="I169" i="18" s="1"/>
  <c r="I122" i="48"/>
  <c r="J99" i="48"/>
  <c r="I99" i="48"/>
  <c r="I166" i="18" s="1"/>
  <c r="I79" i="48"/>
  <c r="AF30" i="53"/>
  <c r="AF31" i="53"/>
  <c r="AF32" i="53"/>
  <c r="AF33" i="53"/>
  <c r="AF34" i="53"/>
  <c r="AF35" i="53"/>
  <c r="AF36" i="53"/>
  <c r="AF37" i="53"/>
  <c r="AF38" i="53"/>
  <c r="AF39" i="53"/>
  <c r="AF40" i="53"/>
  <c r="AF41" i="53"/>
  <c r="AF42" i="53"/>
  <c r="AF43" i="53"/>
  <c r="AF44" i="53"/>
  <c r="AF45" i="53"/>
  <c r="AF46" i="53"/>
  <c r="AF47" i="53"/>
  <c r="AF48" i="53"/>
  <c r="AF49" i="53"/>
  <c r="AF50" i="53"/>
  <c r="AF51" i="53"/>
  <c r="AF52" i="53"/>
  <c r="AF53" i="53"/>
  <c r="AF54" i="53"/>
  <c r="AF55" i="53"/>
  <c r="AF56" i="53"/>
  <c r="AF57" i="53"/>
  <c r="AF58" i="53"/>
  <c r="AF59" i="53"/>
  <c r="AF60" i="53"/>
  <c r="AF61" i="53"/>
  <c r="AF62" i="53"/>
  <c r="AF63" i="53"/>
  <c r="AF64" i="53"/>
  <c r="AF65" i="53"/>
  <c r="AF66" i="53"/>
  <c r="AF67" i="53"/>
  <c r="AF68" i="53"/>
  <c r="AF69" i="53"/>
  <c r="AF70" i="53"/>
  <c r="AF71" i="53"/>
  <c r="AF72" i="53"/>
  <c r="AF73" i="53"/>
  <c r="AF74" i="53"/>
  <c r="AF75" i="53"/>
  <c r="AF76" i="53"/>
  <c r="AF77" i="53"/>
  <c r="AF78" i="53"/>
  <c r="AF79" i="53"/>
  <c r="AF80" i="53"/>
  <c r="AF81" i="53"/>
  <c r="AF82" i="53"/>
  <c r="AF83" i="53"/>
  <c r="AF84" i="53"/>
  <c r="AF85" i="53"/>
  <c r="AF86" i="53"/>
  <c r="AF87" i="53"/>
  <c r="AF88" i="53"/>
  <c r="AF89" i="53"/>
  <c r="AF90" i="53"/>
  <c r="AF91" i="53"/>
  <c r="AF92" i="53"/>
  <c r="AF93" i="53"/>
  <c r="AF94" i="53"/>
  <c r="AF95" i="53"/>
  <c r="AF96" i="53"/>
  <c r="AF97" i="53"/>
  <c r="AF98" i="53"/>
  <c r="AF99" i="53"/>
  <c r="AF100" i="53"/>
  <c r="AF101" i="53"/>
  <c r="AF102" i="53"/>
  <c r="AF103" i="53"/>
  <c r="AF104" i="53"/>
  <c r="AF105" i="53"/>
  <c r="AF106" i="53"/>
  <c r="AF107" i="53"/>
  <c r="AF108" i="53"/>
  <c r="AF109" i="53"/>
  <c r="AF110" i="53"/>
  <c r="AF111" i="53"/>
  <c r="AF112" i="53"/>
  <c r="AF113" i="53"/>
  <c r="AF114" i="53"/>
  <c r="AF115" i="53"/>
  <c r="AF116" i="53"/>
  <c r="AF117" i="53"/>
  <c r="AF118" i="53"/>
  <c r="AF119" i="53"/>
  <c r="AF120" i="53"/>
  <c r="AF121" i="53"/>
  <c r="AF122" i="53"/>
  <c r="AF123" i="53"/>
  <c r="AF124" i="53"/>
  <c r="AF125" i="53"/>
  <c r="AF126" i="53"/>
  <c r="AF127" i="53"/>
  <c r="AF128" i="53"/>
  <c r="AF129" i="53"/>
  <c r="AF130" i="53"/>
  <c r="AF131" i="53"/>
  <c r="AF132" i="53"/>
  <c r="AF133" i="53"/>
  <c r="AF134" i="53"/>
  <c r="AF135" i="53"/>
  <c r="AF136" i="53"/>
  <c r="AF137" i="53"/>
  <c r="AF138" i="53"/>
  <c r="AF139" i="53"/>
  <c r="AF16" i="53"/>
  <c r="AF17" i="53"/>
  <c r="AF18" i="53"/>
  <c r="AF19" i="53"/>
  <c r="AF20" i="53"/>
  <c r="AF21" i="53"/>
  <c r="AF22" i="53"/>
  <c r="AF23" i="53"/>
  <c r="AF24" i="53"/>
  <c r="AF25" i="53"/>
  <c r="AF26" i="53"/>
  <c r="AF27" i="53"/>
  <c r="AF28" i="53"/>
  <c r="AF29" i="53"/>
  <c r="AF15" i="53"/>
  <c r="M144" i="31" l="1"/>
  <c r="M156" i="31"/>
  <c r="M145" i="31"/>
  <c r="M125" i="31"/>
  <c r="M155" i="31"/>
  <c r="M136" i="31"/>
  <c r="M123" i="31"/>
  <c r="M159" i="31"/>
  <c r="M143" i="31"/>
  <c r="M124" i="31"/>
  <c r="M131" i="31"/>
  <c r="M132" i="31"/>
  <c r="M139" i="31"/>
  <c r="M119" i="31"/>
  <c r="H165" i="18"/>
  <c r="H163" i="18"/>
  <c r="H169" i="18"/>
  <c r="J169" i="18"/>
  <c r="J122" i="48"/>
  <c r="J167" i="18" s="1"/>
  <c r="I142" i="48"/>
  <c r="I59" i="48"/>
  <c r="J202" i="48"/>
  <c r="J182" i="48"/>
  <c r="I170" i="18" s="1"/>
  <c r="K162" i="48"/>
  <c r="J142" i="48"/>
  <c r="K122" i="48"/>
  <c r="K99" i="48"/>
  <c r="J79" i="48"/>
  <c r="I165" i="18" s="1"/>
  <c r="J39" i="48"/>
  <c r="I163" i="18" s="1"/>
  <c r="H171" i="18" l="1"/>
  <c r="J166" i="18"/>
  <c r="H164" i="18"/>
  <c r="J165" i="18"/>
  <c r="I168" i="18"/>
  <c r="H168" i="18"/>
  <c r="I167" i="18"/>
  <c r="J59" i="48"/>
  <c r="K202" i="48"/>
  <c r="K182" i="48"/>
  <c r="J170" i="18" s="1"/>
  <c r="M162" i="48"/>
  <c r="M169" i="18" s="1"/>
  <c r="L162" i="48"/>
  <c r="L169" i="18" s="1"/>
  <c r="K142" i="48"/>
  <c r="J168" i="18" s="1"/>
  <c r="M122" i="48"/>
  <c r="M167" i="18" s="1"/>
  <c r="L122" i="48"/>
  <c r="L167" i="18" s="1"/>
  <c r="M99" i="48"/>
  <c r="M166" i="18" s="1"/>
  <c r="L99" i="48"/>
  <c r="K79" i="48"/>
  <c r="K39" i="48"/>
  <c r="J163" i="18" s="1"/>
  <c r="K169" i="18" l="1"/>
  <c r="L166" i="18"/>
  <c r="I171" i="18"/>
  <c r="I164" i="18"/>
  <c r="K167" i="18"/>
  <c r="K166" i="18"/>
  <c r="K59" i="48"/>
  <c r="M202" i="48"/>
  <c r="M171" i="18" s="1"/>
  <c r="L202" i="48"/>
  <c r="M182" i="48"/>
  <c r="M170" i="18" s="1"/>
  <c r="L182" i="48"/>
  <c r="M142" i="48"/>
  <c r="M168" i="18" s="1"/>
  <c r="L142" i="48"/>
  <c r="L79" i="48"/>
  <c r="L165" i="18" s="1"/>
  <c r="M79" i="48"/>
  <c r="M165" i="18" s="1"/>
  <c r="L39" i="48"/>
  <c r="K163" i="18" s="1"/>
  <c r="M39" i="48"/>
  <c r="M163" i="18" s="1"/>
  <c r="K171" i="18" l="1"/>
  <c r="L168" i="18"/>
  <c r="K165" i="18"/>
  <c r="L171" i="18"/>
  <c r="J171" i="18"/>
  <c r="K168" i="18"/>
  <c r="L163" i="18"/>
  <c r="L170" i="18"/>
  <c r="K170" i="18"/>
  <c r="J164" i="18"/>
  <c r="M59" i="48"/>
  <c r="M164" i="18" s="1"/>
  <c r="L59" i="48"/>
  <c r="L164" i="18" s="1"/>
  <c r="K164" i="18" l="1"/>
  <c r="D22" i="22"/>
  <c r="G37" i="22" l="1"/>
  <c r="X53" i="29"/>
  <c r="O29" i="29" s="1"/>
  <c r="X52" i="29"/>
  <c r="O26" i="29" s="1"/>
  <c r="I35" i="22" l="1"/>
  <c r="H35" i="22"/>
  <c r="I234" i="18" s="1"/>
  <c r="I38" i="18" s="1"/>
  <c r="O33" i="29"/>
  <c r="X158" i="29"/>
  <c r="X54" i="29" s="1"/>
  <c r="G41" i="22" l="1"/>
  <c r="H8" i="22"/>
  <c r="M15" i="35" s="1"/>
  <c r="I39" i="22" l="1"/>
  <c r="H39" i="22"/>
  <c r="I8" i="22"/>
  <c r="N15" i="35" s="1"/>
  <c r="I22" i="24" l="1"/>
  <c r="J8" i="22"/>
  <c r="AL15" i="53" l="1"/>
  <c r="O15" i="35"/>
  <c r="T35" i="29"/>
  <c r="K8" i="22"/>
  <c r="U35" i="29" l="1"/>
  <c r="I78" i="38" l="1"/>
  <c r="M156" i="35"/>
  <c r="J78" i="38" l="1"/>
  <c r="J26" i="38"/>
  <c r="K26" i="44"/>
  <c r="N156" i="35"/>
  <c r="K78" i="38" l="1"/>
  <c r="K26" i="38"/>
  <c r="L26" i="44"/>
  <c r="O156" i="35"/>
  <c r="L78" i="38" l="1"/>
  <c r="L26" i="38"/>
  <c r="M26" i="44"/>
  <c r="L30" i="44"/>
  <c r="M30" i="44" l="1"/>
  <c r="M229" i="18"/>
  <c r="M38" i="18" l="1"/>
  <c r="N16" i="24"/>
  <c r="AG208" i="13"/>
  <c r="AI208" i="13"/>
  <c r="AG209" i="13"/>
  <c r="AI209" i="13"/>
  <c r="AG210" i="13"/>
  <c r="AI210" i="13"/>
  <c r="AG211" i="13"/>
  <c r="AI211" i="13"/>
  <c r="AG212" i="13"/>
  <c r="AI212" i="13"/>
  <c r="AG213" i="13"/>
  <c r="AI213" i="13"/>
  <c r="AG214" i="13"/>
  <c r="AI214" i="13"/>
  <c r="AG215" i="13"/>
  <c r="AI215" i="13"/>
  <c r="AG216" i="13"/>
  <c r="AI216" i="13"/>
  <c r="AG217" i="13"/>
  <c r="AI217" i="13"/>
  <c r="AG218" i="13"/>
  <c r="AI218" i="13"/>
  <c r="AG219" i="13"/>
  <c r="AI219" i="13"/>
  <c r="AG220" i="13"/>
  <c r="AI220" i="13"/>
  <c r="AG221" i="13"/>
  <c r="AI221" i="13"/>
  <c r="AG222" i="13"/>
  <c r="AI222" i="13"/>
  <c r="AG223" i="13"/>
  <c r="AI223" i="13"/>
  <c r="AG224" i="13"/>
  <c r="AI224" i="13"/>
  <c r="AG225" i="13"/>
  <c r="AI225" i="13"/>
  <c r="AG226" i="13"/>
  <c r="AI226" i="13"/>
  <c r="AG176" i="13"/>
  <c r="AI176" i="13"/>
  <c r="AG177" i="13"/>
  <c r="AI177" i="13"/>
  <c r="AG178" i="13"/>
  <c r="AI178" i="13"/>
  <c r="AG179" i="13"/>
  <c r="AI179" i="13"/>
  <c r="AG180" i="13"/>
  <c r="AI180" i="13"/>
  <c r="AG181" i="13"/>
  <c r="AI181" i="13"/>
  <c r="AG182" i="13"/>
  <c r="AI182" i="13"/>
  <c r="AG183" i="13"/>
  <c r="AI183" i="13"/>
  <c r="AG184" i="13"/>
  <c r="AI184" i="13"/>
  <c r="AG185" i="13"/>
  <c r="AI185" i="13"/>
  <c r="AG186" i="13"/>
  <c r="AI186" i="13"/>
  <c r="AG187" i="13"/>
  <c r="AI187" i="13"/>
  <c r="AG188" i="13"/>
  <c r="AI188" i="13"/>
  <c r="AG189" i="13"/>
  <c r="AI189" i="13"/>
  <c r="AG190" i="13"/>
  <c r="AI190" i="13"/>
  <c r="AG191" i="13"/>
  <c r="AI191" i="13"/>
  <c r="AG192" i="13"/>
  <c r="AI192" i="13"/>
  <c r="AG193" i="13"/>
  <c r="AI193" i="13"/>
  <c r="AG194" i="13"/>
  <c r="AI194" i="13"/>
  <c r="AG144" i="13"/>
  <c r="AI144" i="13"/>
  <c r="AG145" i="13"/>
  <c r="AI145" i="13"/>
  <c r="AG146" i="13"/>
  <c r="AI146" i="13"/>
  <c r="AG147" i="13"/>
  <c r="AI147" i="13"/>
  <c r="AG148" i="13"/>
  <c r="AI148" i="13"/>
  <c r="AG149" i="13"/>
  <c r="AI149" i="13"/>
  <c r="AG150" i="13"/>
  <c r="AI150" i="13"/>
  <c r="AG151" i="13"/>
  <c r="AI151" i="13"/>
  <c r="AG152" i="13"/>
  <c r="AI152" i="13"/>
  <c r="AG153" i="13"/>
  <c r="AI153" i="13"/>
  <c r="AG154" i="13"/>
  <c r="AI154" i="13"/>
  <c r="AG155" i="13"/>
  <c r="AI155" i="13"/>
  <c r="AG156" i="13"/>
  <c r="AI156" i="13"/>
  <c r="AG157" i="13"/>
  <c r="AI157" i="13"/>
  <c r="AG158" i="13"/>
  <c r="AI158" i="13"/>
  <c r="AG159" i="13"/>
  <c r="AI159" i="13"/>
  <c r="AG160" i="13"/>
  <c r="AI160" i="13"/>
  <c r="AG161" i="13"/>
  <c r="AI161" i="13"/>
  <c r="AG162" i="13"/>
  <c r="AI162" i="13"/>
  <c r="AG112" i="13"/>
  <c r="AI112" i="13"/>
  <c r="AG113" i="13"/>
  <c r="AI113" i="13"/>
  <c r="AG114" i="13"/>
  <c r="AI114" i="13"/>
  <c r="AG115" i="13"/>
  <c r="AI115" i="13"/>
  <c r="AG116" i="13"/>
  <c r="AI116" i="13"/>
  <c r="AG117" i="13"/>
  <c r="AI117" i="13"/>
  <c r="AG118" i="13"/>
  <c r="AI118" i="13"/>
  <c r="AG119" i="13"/>
  <c r="AI119" i="13"/>
  <c r="AG120" i="13"/>
  <c r="AI120" i="13"/>
  <c r="AG121" i="13"/>
  <c r="AI121" i="13"/>
  <c r="AG122" i="13"/>
  <c r="AI122" i="13"/>
  <c r="AG123" i="13"/>
  <c r="AI123" i="13"/>
  <c r="AG124" i="13"/>
  <c r="AI124" i="13"/>
  <c r="AG125" i="13"/>
  <c r="AI125" i="13"/>
  <c r="AG126" i="13"/>
  <c r="AI126" i="13"/>
  <c r="AG127" i="13"/>
  <c r="AI127" i="13"/>
  <c r="AG128" i="13"/>
  <c r="AI128" i="13"/>
  <c r="AG129" i="13"/>
  <c r="AI129" i="13"/>
  <c r="AG130" i="13"/>
  <c r="AI130" i="13"/>
  <c r="AG80" i="13"/>
  <c r="AI80" i="13"/>
  <c r="AG81" i="13"/>
  <c r="AI81" i="13"/>
  <c r="AG82" i="13"/>
  <c r="AI82" i="13"/>
  <c r="AG83" i="13"/>
  <c r="AI83" i="13"/>
  <c r="AG84" i="13"/>
  <c r="AI84" i="13"/>
  <c r="AG85" i="13"/>
  <c r="AI85" i="13"/>
  <c r="AG86" i="13"/>
  <c r="AI86" i="13"/>
  <c r="AG87" i="13"/>
  <c r="AI87" i="13"/>
  <c r="AG88" i="13"/>
  <c r="AI88" i="13"/>
  <c r="AG89" i="13"/>
  <c r="AI89" i="13"/>
  <c r="AG90" i="13"/>
  <c r="AI90" i="13"/>
  <c r="AG91" i="13"/>
  <c r="AI91" i="13"/>
  <c r="AG92" i="13"/>
  <c r="AI92" i="13"/>
  <c r="AG93" i="13"/>
  <c r="AI93" i="13"/>
  <c r="AG94" i="13"/>
  <c r="AI94" i="13"/>
  <c r="AG95" i="13"/>
  <c r="AI95" i="13"/>
  <c r="AG96" i="13"/>
  <c r="AI96" i="13"/>
  <c r="AG97" i="13"/>
  <c r="AI97" i="13"/>
  <c r="AG98" i="13"/>
  <c r="AI98" i="13"/>
  <c r="AG48" i="13"/>
  <c r="AI48" i="13"/>
  <c r="AG49" i="13"/>
  <c r="AI49" i="13"/>
  <c r="AG50" i="13"/>
  <c r="AI50" i="13"/>
  <c r="AG51" i="13"/>
  <c r="AI51" i="13"/>
  <c r="AG52" i="13"/>
  <c r="AI52" i="13"/>
  <c r="AG53" i="13"/>
  <c r="AI53" i="13"/>
  <c r="AG54" i="13"/>
  <c r="AI54" i="13"/>
  <c r="AG55" i="13"/>
  <c r="AI55" i="13"/>
  <c r="AG56" i="13"/>
  <c r="AI56" i="13"/>
  <c r="AG57" i="13"/>
  <c r="AI57" i="13"/>
  <c r="AG58" i="13"/>
  <c r="AI58" i="13"/>
  <c r="AG59" i="13"/>
  <c r="AI59" i="13"/>
  <c r="AG60" i="13"/>
  <c r="AI60" i="13"/>
  <c r="AG61" i="13"/>
  <c r="AI61" i="13"/>
  <c r="AG62" i="13"/>
  <c r="AI62" i="13"/>
  <c r="AG63" i="13"/>
  <c r="AI63" i="13"/>
  <c r="AG64" i="13"/>
  <c r="AI64" i="13"/>
  <c r="AG65" i="13"/>
  <c r="AI65" i="13"/>
  <c r="AG66" i="13"/>
  <c r="AI66" i="13"/>
  <c r="AG16" i="13"/>
  <c r="AI16" i="13"/>
  <c r="AG17" i="13"/>
  <c r="AI17" i="13"/>
  <c r="AG18" i="13"/>
  <c r="AI18" i="13"/>
  <c r="AG19" i="13"/>
  <c r="AI19" i="13"/>
  <c r="AG20" i="13"/>
  <c r="AI20" i="13"/>
  <c r="AG21" i="13"/>
  <c r="AI21" i="13"/>
  <c r="AG22" i="13"/>
  <c r="AI22" i="13"/>
  <c r="AG23" i="13"/>
  <c r="AI23" i="13"/>
  <c r="AG24" i="13"/>
  <c r="AI24" i="13"/>
  <c r="AG25" i="13"/>
  <c r="AI25" i="13"/>
  <c r="AG26" i="13"/>
  <c r="AI26" i="13"/>
  <c r="AG27" i="13"/>
  <c r="AI27" i="13"/>
  <c r="AG28" i="13"/>
  <c r="AI28" i="13"/>
  <c r="AG29" i="13"/>
  <c r="AI29" i="13"/>
  <c r="AG30" i="13"/>
  <c r="AI30" i="13"/>
  <c r="AG31" i="13"/>
  <c r="AI31" i="13"/>
  <c r="AG32" i="13"/>
  <c r="AI32" i="13"/>
  <c r="AG33" i="13"/>
  <c r="AI33" i="13"/>
  <c r="AG34" i="13"/>
  <c r="AI34" i="13"/>
  <c r="Q227" i="13"/>
  <c r="N227" i="13"/>
  <c r="M227" i="13"/>
  <c r="AI207" i="13"/>
  <c r="AG207" i="13"/>
  <c r="Q195" i="13"/>
  <c r="N195" i="13"/>
  <c r="M195" i="13"/>
  <c r="AI175" i="13"/>
  <c r="AG175" i="13"/>
  <c r="Q163" i="13"/>
  <c r="N163" i="13"/>
  <c r="M163" i="13"/>
  <c r="AI143" i="13"/>
  <c r="AG143" i="13"/>
  <c r="Q131" i="13"/>
  <c r="N131" i="13"/>
  <c r="M131" i="13"/>
  <c r="AI111" i="13"/>
  <c r="AG111" i="13"/>
  <c r="Q99" i="13"/>
  <c r="N99" i="13"/>
  <c r="M99" i="13"/>
  <c r="AI79" i="13"/>
  <c r="AG79" i="13"/>
  <c r="Q67" i="13"/>
  <c r="N67" i="13"/>
  <c r="M67" i="13"/>
  <c r="AI47" i="13"/>
  <c r="AG47" i="13"/>
  <c r="Q35" i="13"/>
  <c r="N35" i="13"/>
  <c r="M35" i="13"/>
  <c r="AI15" i="13"/>
  <c r="AG15" i="13"/>
  <c r="E21" i="22" l="1"/>
  <c r="E11" i="22"/>
  <c r="C15" i="22"/>
  <c r="C16" i="22"/>
  <c r="D16" i="22" s="1"/>
  <c r="C17" i="22"/>
  <c r="D17" i="22" s="1"/>
  <c r="C14" i="22"/>
  <c r="D14" i="22" s="1"/>
  <c r="H31" i="28"/>
  <c r="H33" i="28" s="1"/>
  <c r="G41" i="28"/>
  <c r="G43" i="28" s="1"/>
  <c r="F41" i="28"/>
  <c r="F43" i="28" s="1"/>
  <c r="G158" i="29"/>
  <c r="G54" i="29" s="1"/>
  <c r="H156" i="29"/>
  <c r="P156" i="29" s="1"/>
  <c r="H155" i="29"/>
  <c r="P155" i="29" s="1"/>
  <c r="H154" i="29"/>
  <c r="P154" i="29" s="1"/>
  <c r="H153" i="29"/>
  <c r="P153" i="29" s="1"/>
  <c r="H152" i="29"/>
  <c r="P152" i="29" s="1"/>
  <c r="H151" i="29"/>
  <c r="P151" i="29" s="1"/>
  <c r="H150" i="29"/>
  <c r="P150" i="29" s="1"/>
  <c r="H149" i="29"/>
  <c r="P149" i="29" s="1"/>
  <c r="H148" i="29"/>
  <c r="P148" i="29" s="1"/>
  <c r="H147" i="29"/>
  <c r="P147" i="29" s="1"/>
  <c r="H146" i="29"/>
  <c r="P146" i="29" s="1"/>
  <c r="H145" i="29"/>
  <c r="P145" i="29" s="1"/>
  <c r="H144" i="29"/>
  <c r="P144" i="29" s="1"/>
  <c r="H143" i="29"/>
  <c r="P143" i="29" s="1"/>
  <c r="H142" i="29"/>
  <c r="P142" i="29" s="1"/>
  <c r="H141" i="29"/>
  <c r="P141" i="29" s="1"/>
  <c r="H140" i="29"/>
  <c r="P140" i="29" s="1"/>
  <c r="H139" i="29"/>
  <c r="P139" i="29" s="1"/>
  <c r="H138" i="29"/>
  <c r="P138" i="29" s="1"/>
  <c r="H137" i="29"/>
  <c r="P137" i="29" s="1"/>
  <c r="H136" i="29"/>
  <c r="P136" i="29" s="1"/>
  <c r="H135" i="29"/>
  <c r="P135" i="29" s="1"/>
  <c r="H134" i="29"/>
  <c r="P134" i="29" s="1"/>
  <c r="H133" i="29"/>
  <c r="P133" i="29" s="1"/>
  <c r="H132" i="29"/>
  <c r="P132" i="29" s="1"/>
  <c r="H131" i="29"/>
  <c r="P131" i="29" s="1"/>
  <c r="H130" i="29"/>
  <c r="P130" i="29" s="1"/>
  <c r="H129" i="29"/>
  <c r="P129" i="29" s="1"/>
  <c r="H128" i="29"/>
  <c r="P128" i="29" s="1"/>
  <c r="H127" i="29"/>
  <c r="P127" i="29" s="1"/>
  <c r="H126" i="29"/>
  <c r="P126" i="29" s="1"/>
  <c r="H125" i="29"/>
  <c r="P125" i="29" s="1"/>
  <c r="H124" i="29"/>
  <c r="P124" i="29" s="1"/>
  <c r="H123" i="29"/>
  <c r="P123" i="29" s="1"/>
  <c r="H122" i="29"/>
  <c r="P122" i="29" s="1"/>
  <c r="H121" i="29"/>
  <c r="P121" i="29" s="1"/>
  <c r="H120" i="29"/>
  <c r="P120" i="29" s="1"/>
  <c r="H119" i="29"/>
  <c r="P119" i="29" s="1"/>
  <c r="H118" i="29"/>
  <c r="P118" i="29" s="1"/>
  <c r="H117" i="29"/>
  <c r="P117" i="29" s="1"/>
  <c r="H65" i="29"/>
  <c r="H66" i="29"/>
  <c r="P66" i="29" s="1"/>
  <c r="H67" i="29"/>
  <c r="P67" i="29" s="1"/>
  <c r="H68" i="29"/>
  <c r="P68" i="29" s="1"/>
  <c r="H69" i="29"/>
  <c r="P69" i="29" s="1"/>
  <c r="H71" i="29"/>
  <c r="P71" i="29" s="1"/>
  <c r="H73" i="29"/>
  <c r="P73" i="29" s="1"/>
  <c r="I150" i="29"/>
  <c r="I110" i="53"/>
  <c r="G110" i="43" s="1"/>
  <c r="E16" i="43"/>
  <c r="F16" i="43"/>
  <c r="E17" i="43"/>
  <c r="F17" i="43"/>
  <c r="E18" i="43"/>
  <c r="F18" i="43"/>
  <c r="E19" i="43"/>
  <c r="F19" i="43"/>
  <c r="E20" i="43"/>
  <c r="F20" i="43"/>
  <c r="E21" i="43"/>
  <c r="F21" i="43"/>
  <c r="E22" i="43"/>
  <c r="F22" i="43"/>
  <c r="E23" i="43"/>
  <c r="F23" i="43"/>
  <c r="E24" i="43"/>
  <c r="F24" i="43"/>
  <c r="E25" i="43"/>
  <c r="F25" i="43"/>
  <c r="E26" i="43"/>
  <c r="F26" i="43"/>
  <c r="E27" i="43"/>
  <c r="F27" i="43"/>
  <c r="E28" i="43"/>
  <c r="F28" i="43"/>
  <c r="E29" i="43"/>
  <c r="F29" i="43"/>
  <c r="E30" i="43"/>
  <c r="F30" i="43"/>
  <c r="E31" i="43"/>
  <c r="F31" i="43"/>
  <c r="E32" i="43"/>
  <c r="F32" i="43"/>
  <c r="E33" i="43"/>
  <c r="F33" i="43"/>
  <c r="E34" i="43"/>
  <c r="F34" i="43"/>
  <c r="E35" i="43"/>
  <c r="F35" i="43"/>
  <c r="E36" i="43"/>
  <c r="F36" i="43"/>
  <c r="E37" i="43"/>
  <c r="F37" i="43"/>
  <c r="E38" i="43"/>
  <c r="F38" i="43"/>
  <c r="E39" i="43"/>
  <c r="F39" i="43"/>
  <c r="E40" i="43"/>
  <c r="F40" i="43"/>
  <c r="E41" i="43"/>
  <c r="F41" i="43"/>
  <c r="E42" i="43"/>
  <c r="F42" i="43"/>
  <c r="E43" i="43"/>
  <c r="F43" i="43"/>
  <c r="E44" i="43"/>
  <c r="F44" i="43"/>
  <c r="E45" i="43"/>
  <c r="F45" i="43"/>
  <c r="E46" i="43"/>
  <c r="F46" i="43"/>
  <c r="E47" i="43"/>
  <c r="F47" i="43"/>
  <c r="E48" i="43"/>
  <c r="F48" i="43"/>
  <c r="E49" i="43"/>
  <c r="F49" i="43"/>
  <c r="E50" i="43"/>
  <c r="F50" i="43"/>
  <c r="E51" i="43"/>
  <c r="F51" i="43"/>
  <c r="E52" i="43"/>
  <c r="F52" i="43"/>
  <c r="E53" i="43"/>
  <c r="F53" i="43"/>
  <c r="E54" i="43"/>
  <c r="F54" i="43"/>
  <c r="E55" i="43"/>
  <c r="F55" i="43"/>
  <c r="E56" i="43"/>
  <c r="F56" i="43"/>
  <c r="E57" i="43"/>
  <c r="F57" i="43"/>
  <c r="E58" i="43"/>
  <c r="F58" i="43"/>
  <c r="E59" i="43"/>
  <c r="F59" i="43"/>
  <c r="E60" i="43"/>
  <c r="F60" i="43"/>
  <c r="E61" i="43"/>
  <c r="F61" i="43"/>
  <c r="E62" i="43"/>
  <c r="F62" i="43"/>
  <c r="E63" i="43"/>
  <c r="F63" i="43"/>
  <c r="E64" i="43"/>
  <c r="F64" i="43"/>
  <c r="E65" i="43"/>
  <c r="F65" i="43"/>
  <c r="E66" i="43"/>
  <c r="F66" i="43"/>
  <c r="E67" i="43"/>
  <c r="F67" i="43"/>
  <c r="E68" i="43"/>
  <c r="F68" i="43"/>
  <c r="E69" i="43"/>
  <c r="F69" i="43"/>
  <c r="E70" i="43"/>
  <c r="F70" i="43"/>
  <c r="E71" i="43"/>
  <c r="F71" i="43"/>
  <c r="E72" i="43"/>
  <c r="F72" i="43"/>
  <c r="E73" i="43"/>
  <c r="F73" i="43"/>
  <c r="E74" i="43"/>
  <c r="F74" i="43"/>
  <c r="E75" i="43"/>
  <c r="F75" i="43"/>
  <c r="E76" i="43"/>
  <c r="F76" i="43"/>
  <c r="E77" i="43"/>
  <c r="F77" i="43"/>
  <c r="E78" i="43"/>
  <c r="F78" i="43"/>
  <c r="E79" i="43"/>
  <c r="F79" i="43"/>
  <c r="E80" i="43"/>
  <c r="F80" i="43"/>
  <c r="E81" i="43"/>
  <c r="F81" i="43"/>
  <c r="E82" i="43"/>
  <c r="F82" i="43"/>
  <c r="E83" i="43"/>
  <c r="F83" i="43"/>
  <c r="E84" i="43"/>
  <c r="F84" i="43"/>
  <c r="E85" i="43"/>
  <c r="F85" i="43"/>
  <c r="E86" i="43"/>
  <c r="F86" i="43"/>
  <c r="E87" i="43"/>
  <c r="F87" i="43"/>
  <c r="E88" i="43"/>
  <c r="F88" i="43"/>
  <c r="E89" i="43"/>
  <c r="F89" i="43"/>
  <c r="E90" i="43"/>
  <c r="F90" i="43"/>
  <c r="E91" i="43"/>
  <c r="F91" i="43"/>
  <c r="E92" i="43"/>
  <c r="F92" i="43"/>
  <c r="E93" i="43"/>
  <c r="F93" i="43"/>
  <c r="E94" i="43"/>
  <c r="F94" i="43"/>
  <c r="E95" i="43"/>
  <c r="F95" i="43"/>
  <c r="E96" i="43"/>
  <c r="F96" i="43"/>
  <c r="E97" i="43"/>
  <c r="F97" i="43"/>
  <c r="E98" i="43"/>
  <c r="F98" i="43"/>
  <c r="E99" i="43"/>
  <c r="F99" i="43"/>
  <c r="E100" i="43"/>
  <c r="F100" i="43"/>
  <c r="E101" i="43"/>
  <c r="F101" i="43"/>
  <c r="E102" i="43"/>
  <c r="F102" i="43"/>
  <c r="E103" i="43"/>
  <c r="F103" i="43"/>
  <c r="E104" i="43"/>
  <c r="F104" i="43"/>
  <c r="E105" i="43"/>
  <c r="F105" i="43"/>
  <c r="E106" i="43"/>
  <c r="F106" i="43"/>
  <c r="E107" i="43"/>
  <c r="F107" i="43"/>
  <c r="E108" i="43"/>
  <c r="F108" i="43"/>
  <c r="E109" i="43"/>
  <c r="F109" i="43"/>
  <c r="E110" i="43"/>
  <c r="F110" i="43"/>
  <c r="E111" i="43"/>
  <c r="F111" i="43"/>
  <c r="E112" i="43"/>
  <c r="F112" i="43"/>
  <c r="E113" i="43"/>
  <c r="F113" i="43"/>
  <c r="E114" i="43"/>
  <c r="F114" i="43"/>
  <c r="E115" i="43"/>
  <c r="F115" i="43"/>
  <c r="E116" i="43"/>
  <c r="F116" i="43"/>
  <c r="E117" i="43"/>
  <c r="F117" i="43"/>
  <c r="E118" i="43"/>
  <c r="F118" i="43"/>
  <c r="E119" i="43"/>
  <c r="F119" i="43"/>
  <c r="E120" i="43"/>
  <c r="F120" i="43"/>
  <c r="E121" i="43"/>
  <c r="F121" i="43"/>
  <c r="E122" i="43"/>
  <c r="F122" i="43"/>
  <c r="E123" i="43"/>
  <c r="F123" i="43"/>
  <c r="E124" i="43"/>
  <c r="F124" i="43"/>
  <c r="E125" i="43"/>
  <c r="F125" i="43"/>
  <c r="E126" i="43"/>
  <c r="F126" i="43"/>
  <c r="E127" i="43"/>
  <c r="F127" i="43"/>
  <c r="E128" i="43"/>
  <c r="F128" i="43"/>
  <c r="E129" i="43"/>
  <c r="F129" i="43"/>
  <c r="E130" i="43"/>
  <c r="F130" i="43"/>
  <c r="E131" i="43"/>
  <c r="F131" i="43"/>
  <c r="E132" i="43"/>
  <c r="F132" i="43"/>
  <c r="E133" i="43"/>
  <c r="F133" i="43"/>
  <c r="E134" i="43"/>
  <c r="F134" i="43"/>
  <c r="E135" i="43"/>
  <c r="F135" i="43"/>
  <c r="E136" i="43"/>
  <c r="F136" i="43"/>
  <c r="E137" i="43"/>
  <c r="F137" i="43"/>
  <c r="E138" i="43"/>
  <c r="F138" i="43"/>
  <c r="E139" i="43"/>
  <c r="F139" i="43"/>
  <c r="F15" i="43"/>
  <c r="E15" i="43"/>
  <c r="AO139" i="53"/>
  <c r="AP139" i="53" s="1"/>
  <c r="AQ139" i="53" s="1"/>
  <c r="AR139" i="53" s="1"/>
  <c r="AS139" i="53" s="1"/>
  <c r="AT139" i="53" s="1"/>
  <c r="Y139" i="53"/>
  <c r="Z139" i="53" s="1"/>
  <c r="AA139" i="53" s="1"/>
  <c r="AB139" i="53" s="1"/>
  <c r="AC139" i="53" s="1"/>
  <c r="AD139" i="53" s="1"/>
  <c r="AO138" i="53"/>
  <c r="AP138" i="53" s="1"/>
  <c r="AQ138" i="53" s="1"/>
  <c r="AR138" i="53" s="1"/>
  <c r="AS138" i="53" s="1"/>
  <c r="AT138" i="53" s="1"/>
  <c r="Y138" i="53"/>
  <c r="Z138" i="53" s="1"/>
  <c r="AA138" i="53" s="1"/>
  <c r="AB138" i="53" s="1"/>
  <c r="AC138" i="53" s="1"/>
  <c r="AD138" i="53" s="1"/>
  <c r="AO137" i="53"/>
  <c r="AP137" i="53" s="1"/>
  <c r="AQ137" i="53" s="1"/>
  <c r="AR137" i="53" s="1"/>
  <c r="AS137" i="53" s="1"/>
  <c r="AT137" i="53" s="1"/>
  <c r="Y137" i="53"/>
  <c r="Z137" i="53" s="1"/>
  <c r="AA137" i="53" s="1"/>
  <c r="AB137" i="53" s="1"/>
  <c r="AC137" i="53" s="1"/>
  <c r="AD137" i="53" s="1"/>
  <c r="AO136" i="53"/>
  <c r="AP136" i="53" s="1"/>
  <c r="AQ136" i="53" s="1"/>
  <c r="AR136" i="53" s="1"/>
  <c r="AS136" i="53" s="1"/>
  <c r="AT136" i="53" s="1"/>
  <c r="Y136" i="53"/>
  <c r="Z136" i="53" s="1"/>
  <c r="AA136" i="53" s="1"/>
  <c r="AB136" i="53" s="1"/>
  <c r="AC136" i="53" s="1"/>
  <c r="AD136" i="53" s="1"/>
  <c r="AO135" i="53"/>
  <c r="AP135" i="53" s="1"/>
  <c r="AQ135" i="53" s="1"/>
  <c r="AR135" i="53" s="1"/>
  <c r="AS135" i="53" s="1"/>
  <c r="AT135" i="53" s="1"/>
  <c r="Y135" i="53"/>
  <c r="Z135" i="53" s="1"/>
  <c r="AA135" i="53" s="1"/>
  <c r="AB135" i="53" s="1"/>
  <c r="AC135" i="53" s="1"/>
  <c r="AD135" i="53" s="1"/>
  <c r="AO134" i="53"/>
  <c r="AP134" i="53" s="1"/>
  <c r="AQ134" i="53" s="1"/>
  <c r="AR134" i="53" s="1"/>
  <c r="AS134" i="53" s="1"/>
  <c r="AT134" i="53" s="1"/>
  <c r="Y134" i="53"/>
  <c r="Z134" i="53" s="1"/>
  <c r="AA134" i="53" s="1"/>
  <c r="AB134" i="53" s="1"/>
  <c r="AC134" i="53" s="1"/>
  <c r="AD134" i="53" s="1"/>
  <c r="AO133" i="53"/>
  <c r="AP133" i="53" s="1"/>
  <c r="AQ133" i="53" s="1"/>
  <c r="AR133" i="53" s="1"/>
  <c r="AS133" i="53" s="1"/>
  <c r="AT133" i="53" s="1"/>
  <c r="Y133" i="53"/>
  <c r="Z133" i="53" s="1"/>
  <c r="AA133" i="53" s="1"/>
  <c r="AB133" i="53" s="1"/>
  <c r="AC133" i="53" s="1"/>
  <c r="AD133" i="53" s="1"/>
  <c r="AO132" i="53"/>
  <c r="AP132" i="53" s="1"/>
  <c r="AQ132" i="53" s="1"/>
  <c r="AR132" i="53" s="1"/>
  <c r="AS132" i="53" s="1"/>
  <c r="AT132" i="53" s="1"/>
  <c r="Y132" i="53"/>
  <c r="Z132" i="53" s="1"/>
  <c r="AA132" i="53" s="1"/>
  <c r="AB132" i="53" s="1"/>
  <c r="AC132" i="53" s="1"/>
  <c r="AD132" i="53" s="1"/>
  <c r="AO131" i="53"/>
  <c r="AP131" i="53" s="1"/>
  <c r="AQ131" i="53" s="1"/>
  <c r="AR131" i="53" s="1"/>
  <c r="AS131" i="53" s="1"/>
  <c r="AT131" i="53" s="1"/>
  <c r="Y131" i="53"/>
  <c r="Z131" i="53" s="1"/>
  <c r="AA131" i="53" s="1"/>
  <c r="AB131" i="53" s="1"/>
  <c r="AC131" i="53" s="1"/>
  <c r="AD131" i="53" s="1"/>
  <c r="AO130" i="53"/>
  <c r="AP130" i="53" s="1"/>
  <c r="AQ130" i="53" s="1"/>
  <c r="AR130" i="53" s="1"/>
  <c r="AS130" i="53" s="1"/>
  <c r="AT130" i="53" s="1"/>
  <c r="Y130" i="53"/>
  <c r="Z130" i="53" s="1"/>
  <c r="AA130" i="53" s="1"/>
  <c r="AB130" i="53" s="1"/>
  <c r="AC130" i="53" s="1"/>
  <c r="AD130" i="53" s="1"/>
  <c r="AO129" i="53"/>
  <c r="AP129" i="53" s="1"/>
  <c r="AQ129" i="53" s="1"/>
  <c r="AR129" i="53" s="1"/>
  <c r="AS129" i="53" s="1"/>
  <c r="AT129" i="53" s="1"/>
  <c r="Y129" i="53"/>
  <c r="Z129" i="53" s="1"/>
  <c r="AA129" i="53" s="1"/>
  <c r="AB129" i="53" s="1"/>
  <c r="AC129" i="53" s="1"/>
  <c r="AD129" i="53" s="1"/>
  <c r="AO128" i="53"/>
  <c r="AP128" i="53" s="1"/>
  <c r="AQ128" i="53" s="1"/>
  <c r="AR128" i="53" s="1"/>
  <c r="AS128" i="53" s="1"/>
  <c r="AT128" i="53" s="1"/>
  <c r="Y128" i="53"/>
  <c r="Z128" i="53" s="1"/>
  <c r="AA128" i="53" s="1"/>
  <c r="AB128" i="53" s="1"/>
  <c r="AC128" i="53" s="1"/>
  <c r="AD128" i="53" s="1"/>
  <c r="AO127" i="53"/>
  <c r="AP127" i="53" s="1"/>
  <c r="AQ127" i="53" s="1"/>
  <c r="AR127" i="53" s="1"/>
  <c r="AS127" i="53" s="1"/>
  <c r="AT127" i="53" s="1"/>
  <c r="Y127" i="53"/>
  <c r="Z127" i="53" s="1"/>
  <c r="AA127" i="53" s="1"/>
  <c r="AB127" i="53" s="1"/>
  <c r="AC127" i="53" s="1"/>
  <c r="AD127" i="53" s="1"/>
  <c r="AO126" i="53"/>
  <c r="AP126" i="53" s="1"/>
  <c r="AQ126" i="53" s="1"/>
  <c r="AR126" i="53" s="1"/>
  <c r="AS126" i="53" s="1"/>
  <c r="AT126" i="53" s="1"/>
  <c r="Y126" i="53"/>
  <c r="Z126" i="53" s="1"/>
  <c r="AA126" i="53" s="1"/>
  <c r="AB126" i="53" s="1"/>
  <c r="AC126" i="53" s="1"/>
  <c r="AD126" i="53" s="1"/>
  <c r="AO125" i="53"/>
  <c r="AP125" i="53" s="1"/>
  <c r="AQ125" i="53" s="1"/>
  <c r="AR125" i="53" s="1"/>
  <c r="AS125" i="53" s="1"/>
  <c r="AT125" i="53" s="1"/>
  <c r="Y125" i="53"/>
  <c r="Z125" i="53" s="1"/>
  <c r="AA125" i="53" s="1"/>
  <c r="AB125" i="53" s="1"/>
  <c r="AC125" i="53" s="1"/>
  <c r="AD125" i="53" s="1"/>
  <c r="AO124" i="53"/>
  <c r="AP124" i="53" s="1"/>
  <c r="AQ124" i="53" s="1"/>
  <c r="AR124" i="53" s="1"/>
  <c r="AS124" i="53" s="1"/>
  <c r="AT124" i="53" s="1"/>
  <c r="Y124" i="53"/>
  <c r="Z124" i="53" s="1"/>
  <c r="AA124" i="53" s="1"/>
  <c r="AB124" i="53" s="1"/>
  <c r="AC124" i="53" s="1"/>
  <c r="AD124" i="53" s="1"/>
  <c r="AO123" i="53"/>
  <c r="AP123" i="53" s="1"/>
  <c r="AQ123" i="53" s="1"/>
  <c r="AR123" i="53" s="1"/>
  <c r="AS123" i="53" s="1"/>
  <c r="AT123" i="53" s="1"/>
  <c r="Y123" i="53"/>
  <c r="Z123" i="53" s="1"/>
  <c r="AA123" i="53" s="1"/>
  <c r="AB123" i="53" s="1"/>
  <c r="AC123" i="53" s="1"/>
  <c r="AD123" i="53" s="1"/>
  <c r="AO122" i="53"/>
  <c r="AP122" i="53" s="1"/>
  <c r="AQ122" i="53" s="1"/>
  <c r="AR122" i="53" s="1"/>
  <c r="AS122" i="53" s="1"/>
  <c r="AT122" i="53" s="1"/>
  <c r="Y122" i="53"/>
  <c r="Z122" i="53" s="1"/>
  <c r="AA122" i="53" s="1"/>
  <c r="AB122" i="53" s="1"/>
  <c r="AC122" i="53" s="1"/>
  <c r="AD122" i="53" s="1"/>
  <c r="AO121" i="53"/>
  <c r="AP121" i="53" s="1"/>
  <c r="AQ121" i="53" s="1"/>
  <c r="AR121" i="53" s="1"/>
  <c r="AS121" i="53" s="1"/>
  <c r="AT121" i="53" s="1"/>
  <c r="Y121" i="53"/>
  <c r="Z121" i="53" s="1"/>
  <c r="AA121" i="53" s="1"/>
  <c r="AB121" i="53" s="1"/>
  <c r="AC121" i="53" s="1"/>
  <c r="AD121" i="53" s="1"/>
  <c r="AO120" i="53"/>
  <c r="AP120" i="53" s="1"/>
  <c r="AQ120" i="53" s="1"/>
  <c r="AR120" i="53" s="1"/>
  <c r="AS120" i="53" s="1"/>
  <c r="AT120" i="53" s="1"/>
  <c r="Y120" i="53"/>
  <c r="Z120" i="53" s="1"/>
  <c r="AA120" i="53" s="1"/>
  <c r="AB120" i="53" s="1"/>
  <c r="AC120" i="53" s="1"/>
  <c r="AD120" i="53" s="1"/>
  <c r="AO119" i="53"/>
  <c r="AP119" i="53" s="1"/>
  <c r="AQ119" i="53" s="1"/>
  <c r="AR119" i="53" s="1"/>
  <c r="AS119" i="53" s="1"/>
  <c r="AT119" i="53" s="1"/>
  <c r="Y119" i="53"/>
  <c r="Z119" i="53" s="1"/>
  <c r="AA119" i="53" s="1"/>
  <c r="AB119" i="53" s="1"/>
  <c r="AC119" i="53" s="1"/>
  <c r="AD119" i="53" s="1"/>
  <c r="AO118" i="53"/>
  <c r="AP118" i="53" s="1"/>
  <c r="AQ118" i="53" s="1"/>
  <c r="AR118" i="53" s="1"/>
  <c r="AS118" i="53" s="1"/>
  <c r="AT118" i="53" s="1"/>
  <c r="Y118" i="53"/>
  <c r="Z118" i="53" s="1"/>
  <c r="AA118" i="53" s="1"/>
  <c r="AB118" i="53" s="1"/>
  <c r="AC118" i="53" s="1"/>
  <c r="AD118" i="53" s="1"/>
  <c r="AO117" i="53"/>
  <c r="AP117" i="53" s="1"/>
  <c r="AQ117" i="53" s="1"/>
  <c r="AR117" i="53" s="1"/>
  <c r="AS117" i="53" s="1"/>
  <c r="AT117" i="53" s="1"/>
  <c r="Y117" i="53"/>
  <c r="Z117" i="53" s="1"/>
  <c r="AA117" i="53" s="1"/>
  <c r="AB117" i="53" s="1"/>
  <c r="AC117" i="53" s="1"/>
  <c r="AD117" i="53" s="1"/>
  <c r="AO116" i="53"/>
  <c r="AP116" i="53" s="1"/>
  <c r="AQ116" i="53" s="1"/>
  <c r="AR116" i="53" s="1"/>
  <c r="AS116" i="53" s="1"/>
  <c r="AT116" i="53" s="1"/>
  <c r="Y116" i="53"/>
  <c r="Z116" i="53" s="1"/>
  <c r="AA116" i="53" s="1"/>
  <c r="AB116" i="53" s="1"/>
  <c r="AC116" i="53" s="1"/>
  <c r="AD116" i="53" s="1"/>
  <c r="AO115" i="53"/>
  <c r="AP115" i="53" s="1"/>
  <c r="AQ115" i="53" s="1"/>
  <c r="AR115" i="53" s="1"/>
  <c r="AS115" i="53" s="1"/>
  <c r="AT115" i="53" s="1"/>
  <c r="Y115" i="53"/>
  <c r="Z115" i="53" s="1"/>
  <c r="AA115" i="53" s="1"/>
  <c r="AB115" i="53" s="1"/>
  <c r="AC115" i="53" s="1"/>
  <c r="AD115" i="53" s="1"/>
  <c r="AO114" i="53"/>
  <c r="AP114" i="53" s="1"/>
  <c r="AQ114" i="53" s="1"/>
  <c r="AR114" i="53" s="1"/>
  <c r="AS114" i="53" s="1"/>
  <c r="AT114" i="53" s="1"/>
  <c r="Y114" i="53"/>
  <c r="Z114" i="53" s="1"/>
  <c r="AA114" i="53" s="1"/>
  <c r="AB114" i="53" s="1"/>
  <c r="AC114" i="53" s="1"/>
  <c r="AD114" i="53" s="1"/>
  <c r="AO113" i="53"/>
  <c r="AP113" i="53" s="1"/>
  <c r="AQ113" i="53" s="1"/>
  <c r="AR113" i="53" s="1"/>
  <c r="AS113" i="53" s="1"/>
  <c r="AT113" i="53" s="1"/>
  <c r="Y113" i="53"/>
  <c r="Z113" i="53" s="1"/>
  <c r="AA113" i="53" s="1"/>
  <c r="AB113" i="53" s="1"/>
  <c r="AC113" i="53" s="1"/>
  <c r="AD113" i="53" s="1"/>
  <c r="AO112" i="53"/>
  <c r="AP112" i="53" s="1"/>
  <c r="AQ112" i="53" s="1"/>
  <c r="AR112" i="53" s="1"/>
  <c r="AS112" i="53" s="1"/>
  <c r="AT112" i="53" s="1"/>
  <c r="Y112" i="53"/>
  <c r="Z112" i="53" s="1"/>
  <c r="AA112" i="53" s="1"/>
  <c r="AB112" i="53" s="1"/>
  <c r="AC112" i="53" s="1"/>
  <c r="AD112" i="53" s="1"/>
  <c r="AO111" i="53"/>
  <c r="AP111" i="53" s="1"/>
  <c r="AQ111" i="53" s="1"/>
  <c r="AR111" i="53" s="1"/>
  <c r="AS111" i="53" s="1"/>
  <c r="AT111" i="53" s="1"/>
  <c r="Y111" i="53"/>
  <c r="Z111" i="53" s="1"/>
  <c r="AA111" i="53" s="1"/>
  <c r="AB111" i="53" s="1"/>
  <c r="AC111" i="53" s="1"/>
  <c r="AD111" i="53" s="1"/>
  <c r="AO110" i="53"/>
  <c r="AP110" i="53" s="1"/>
  <c r="AQ110" i="53" s="1"/>
  <c r="AR110" i="53" s="1"/>
  <c r="AS110" i="53" s="1"/>
  <c r="AT110" i="53" s="1"/>
  <c r="Y110" i="53"/>
  <c r="Z110" i="53" s="1"/>
  <c r="AA110" i="53" s="1"/>
  <c r="AB110" i="53" s="1"/>
  <c r="AC110" i="53" s="1"/>
  <c r="AD110" i="53" s="1"/>
  <c r="AO109" i="53"/>
  <c r="AP109" i="53" s="1"/>
  <c r="AQ109" i="53" s="1"/>
  <c r="AR109" i="53" s="1"/>
  <c r="AS109" i="53" s="1"/>
  <c r="AT109" i="53" s="1"/>
  <c r="Y109" i="53"/>
  <c r="Z109" i="53" s="1"/>
  <c r="AA109" i="53" s="1"/>
  <c r="AB109" i="53" s="1"/>
  <c r="AC109" i="53" s="1"/>
  <c r="AD109" i="53" s="1"/>
  <c r="AO108" i="53"/>
  <c r="AP108" i="53" s="1"/>
  <c r="AQ108" i="53" s="1"/>
  <c r="AR108" i="53" s="1"/>
  <c r="AS108" i="53" s="1"/>
  <c r="AT108" i="53" s="1"/>
  <c r="Y108" i="53"/>
  <c r="Z108" i="53" s="1"/>
  <c r="AA108" i="53" s="1"/>
  <c r="AB108" i="53" s="1"/>
  <c r="AC108" i="53" s="1"/>
  <c r="AD108" i="53" s="1"/>
  <c r="AO107" i="53"/>
  <c r="AP107" i="53" s="1"/>
  <c r="AQ107" i="53" s="1"/>
  <c r="AR107" i="53" s="1"/>
  <c r="AS107" i="53" s="1"/>
  <c r="AT107" i="53" s="1"/>
  <c r="Y107" i="53"/>
  <c r="Z107" i="53" s="1"/>
  <c r="AA107" i="53" s="1"/>
  <c r="AB107" i="53" s="1"/>
  <c r="AC107" i="53" s="1"/>
  <c r="AD107" i="53" s="1"/>
  <c r="AO106" i="53"/>
  <c r="AP106" i="53" s="1"/>
  <c r="AQ106" i="53" s="1"/>
  <c r="AR106" i="53" s="1"/>
  <c r="AS106" i="53" s="1"/>
  <c r="AT106" i="53" s="1"/>
  <c r="Y106" i="53"/>
  <c r="Z106" i="53" s="1"/>
  <c r="AA106" i="53" s="1"/>
  <c r="AB106" i="53" s="1"/>
  <c r="AC106" i="53" s="1"/>
  <c r="AD106" i="53" s="1"/>
  <c r="AO105" i="53"/>
  <c r="AP105" i="53" s="1"/>
  <c r="AQ105" i="53" s="1"/>
  <c r="AR105" i="53" s="1"/>
  <c r="AS105" i="53" s="1"/>
  <c r="AT105" i="53" s="1"/>
  <c r="Y105" i="53"/>
  <c r="Z105" i="53" s="1"/>
  <c r="AA105" i="53" s="1"/>
  <c r="AB105" i="53" s="1"/>
  <c r="AC105" i="53" s="1"/>
  <c r="AD105" i="53" s="1"/>
  <c r="AO104" i="53"/>
  <c r="AP104" i="53" s="1"/>
  <c r="AQ104" i="53" s="1"/>
  <c r="AR104" i="53" s="1"/>
  <c r="AS104" i="53" s="1"/>
  <c r="AT104" i="53" s="1"/>
  <c r="Y104" i="53"/>
  <c r="Z104" i="53" s="1"/>
  <c r="AA104" i="53" s="1"/>
  <c r="AB104" i="53" s="1"/>
  <c r="AC104" i="53" s="1"/>
  <c r="AD104" i="53" s="1"/>
  <c r="AO103" i="53"/>
  <c r="AP103" i="53" s="1"/>
  <c r="AQ103" i="53" s="1"/>
  <c r="AR103" i="53" s="1"/>
  <c r="AS103" i="53" s="1"/>
  <c r="AT103" i="53" s="1"/>
  <c r="Y103" i="53"/>
  <c r="Z103" i="53" s="1"/>
  <c r="AA103" i="53" s="1"/>
  <c r="AB103" i="53" s="1"/>
  <c r="AC103" i="53" s="1"/>
  <c r="AD103" i="53" s="1"/>
  <c r="AO102" i="53"/>
  <c r="AP102" i="53" s="1"/>
  <c r="AQ102" i="53" s="1"/>
  <c r="AR102" i="53" s="1"/>
  <c r="AS102" i="53" s="1"/>
  <c r="AT102" i="53" s="1"/>
  <c r="Y102" i="53"/>
  <c r="Z102" i="53" s="1"/>
  <c r="AA102" i="53" s="1"/>
  <c r="AB102" i="53" s="1"/>
  <c r="AC102" i="53" s="1"/>
  <c r="AD102" i="53" s="1"/>
  <c r="AO101" i="53"/>
  <c r="AP101" i="53" s="1"/>
  <c r="AQ101" i="53" s="1"/>
  <c r="AR101" i="53" s="1"/>
  <c r="AS101" i="53" s="1"/>
  <c r="AT101" i="53" s="1"/>
  <c r="Y101" i="53"/>
  <c r="Z101" i="53" s="1"/>
  <c r="AA101" i="53" s="1"/>
  <c r="AB101" i="53" s="1"/>
  <c r="AC101" i="53" s="1"/>
  <c r="AD101" i="53" s="1"/>
  <c r="AO100" i="53"/>
  <c r="AP100" i="53" s="1"/>
  <c r="AQ100" i="53" s="1"/>
  <c r="AR100" i="53" s="1"/>
  <c r="AS100" i="53" s="1"/>
  <c r="AT100" i="53" s="1"/>
  <c r="Y100" i="53"/>
  <c r="Z100" i="53" s="1"/>
  <c r="AA100" i="53" s="1"/>
  <c r="AB100" i="53" s="1"/>
  <c r="AC100" i="53" s="1"/>
  <c r="AD100" i="53" s="1"/>
  <c r="AO99" i="53"/>
  <c r="AP99" i="53" s="1"/>
  <c r="AQ99" i="53" s="1"/>
  <c r="AR99" i="53" s="1"/>
  <c r="AS99" i="53" s="1"/>
  <c r="AT99" i="53" s="1"/>
  <c r="Y99" i="53"/>
  <c r="Z99" i="53" s="1"/>
  <c r="AA99" i="53" s="1"/>
  <c r="AB99" i="53" s="1"/>
  <c r="AC99" i="53" s="1"/>
  <c r="AD99" i="53" s="1"/>
  <c r="AO98" i="53"/>
  <c r="AP98" i="53" s="1"/>
  <c r="AQ98" i="53" s="1"/>
  <c r="AR98" i="53" s="1"/>
  <c r="AS98" i="53" s="1"/>
  <c r="AT98" i="53" s="1"/>
  <c r="Y98" i="53"/>
  <c r="Z98" i="53" s="1"/>
  <c r="AA98" i="53" s="1"/>
  <c r="AB98" i="53" s="1"/>
  <c r="AC98" i="53" s="1"/>
  <c r="AD98" i="53" s="1"/>
  <c r="AO97" i="53"/>
  <c r="AP97" i="53" s="1"/>
  <c r="AQ97" i="53" s="1"/>
  <c r="AR97" i="53" s="1"/>
  <c r="AS97" i="53" s="1"/>
  <c r="AT97" i="53" s="1"/>
  <c r="Y97" i="53"/>
  <c r="Z97" i="53" s="1"/>
  <c r="AA97" i="53" s="1"/>
  <c r="AB97" i="53" s="1"/>
  <c r="AC97" i="53" s="1"/>
  <c r="AD97" i="53" s="1"/>
  <c r="AO96" i="53"/>
  <c r="AP96" i="53" s="1"/>
  <c r="AQ96" i="53" s="1"/>
  <c r="AR96" i="53" s="1"/>
  <c r="AS96" i="53" s="1"/>
  <c r="AT96" i="53" s="1"/>
  <c r="Y96" i="53"/>
  <c r="Z96" i="53" s="1"/>
  <c r="AA96" i="53" s="1"/>
  <c r="AB96" i="53" s="1"/>
  <c r="AC96" i="53" s="1"/>
  <c r="AD96" i="53" s="1"/>
  <c r="AO95" i="53"/>
  <c r="AP95" i="53" s="1"/>
  <c r="AQ95" i="53" s="1"/>
  <c r="AR95" i="53" s="1"/>
  <c r="AS95" i="53" s="1"/>
  <c r="AT95" i="53" s="1"/>
  <c r="Y95" i="53"/>
  <c r="Z95" i="53" s="1"/>
  <c r="AA95" i="53" s="1"/>
  <c r="AB95" i="53" s="1"/>
  <c r="AC95" i="53" s="1"/>
  <c r="AD95" i="53" s="1"/>
  <c r="AO94" i="53"/>
  <c r="AP94" i="53" s="1"/>
  <c r="AQ94" i="53" s="1"/>
  <c r="AR94" i="53" s="1"/>
  <c r="AS94" i="53" s="1"/>
  <c r="AT94" i="53" s="1"/>
  <c r="Y94" i="53"/>
  <c r="Z94" i="53" s="1"/>
  <c r="AA94" i="53" s="1"/>
  <c r="AB94" i="53" s="1"/>
  <c r="AC94" i="53" s="1"/>
  <c r="AD94" i="53" s="1"/>
  <c r="AO93" i="53"/>
  <c r="AP93" i="53" s="1"/>
  <c r="AQ93" i="53" s="1"/>
  <c r="AR93" i="53" s="1"/>
  <c r="AS93" i="53" s="1"/>
  <c r="AT93" i="53" s="1"/>
  <c r="Y93" i="53"/>
  <c r="Z93" i="53" s="1"/>
  <c r="AA93" i="53" s="1"/>
  <c r="AB93" i="53" s="1"/>
  <c r="AC93" i="53" s="1"/>
  <c r="AD93" i="53" s="1"/>
  <c r="AO92" i="53"/>
  <c r="AP92" i="53" s="1"/>
  <c r="AQ92" i="53" s="1"/>
  <c r="AR92" i="53" s="1"/>
  <c r="AS92" i="53" s="1"/>
  <c r="AT92" i="53" s="1"/>
  <c r="Y92" i="53"/>
  <c r="Z92" i="53" s="1"/>
  <c r="AA92" i="53" s="1"/>
  <c r="AB92" i="53" s="1"/>
  <c r="AC92" i="53" s="1"/>
  <c r="AD92" i="53" s="1"/>
  <c r="AO91" i="53"/>
  <c r="AP91" i="53" s="1"/>
  <c r="AQ91" i="53" s="1"/>
  <c r="AR91" i="53" s="1"/>
  <c r="AS91" i="53" s="1"/>
  <c r="AT91" i="53" s="1"/>
  <c r="Y91" i="53"/>
  <c r="Z91" i="53" s="1"/>
  <c r="AA91" i="53" s="1"/>
  <c r="AB91" i="53" s="1"/>
  <c r="AC91" i="53" s="1"/>
  <c r="AD91" i="53" s="1"/>
  <c r="AO90" i="53"/>
  <c r="AP90" i="53" s="1"/>
  <c r="AQ90" i="53" s="1"/>
  <c r="AR90" i="53" s="1"/>
  <c r="AS90" i="53" s="1"/>
  <c r="AT90" i="53" s="1"/>
  <c r="Y90" i="53"/>
  <c r="Z90" i="53" s="1"/>
  <c r="AA90" i="53" s="1"/>
  <c r="AB90" i="53" s="1"/>
  <c r="AC90" i="53" s="1"/>
  <c r="AD90" i="53" s="1"/>
  <c r="AO89" i="53"/>
  <c r="AP89" i="53" s="1"/>
  <c r="AQ89" i="53" s="1"/>
  <c r="AR89" i="53" s="1"/>
  <c r="AS89" i="53" s="1"/>
  <c r="AT89" i="53" s="1"/>
  <c r="Y89" i="53"/>
  <c r="Z89" i="53" s="1"/>
  <c r="AA89" i="53" s="1"/>
  <c r="AB89" i="53" s="1"/>
  <c r="AC89" i="53" s="1"/>
  <c r="AD89" i="53" s="1"/>
  <c r="AO88" i="53"/>
  <c r="AP88" i="53" s="1"/>
  <c r="AQ88" i="53" s="1"/>
  <c r="AR88" i="53" s="1"/>
  <c r="AS88" i="53" s="1"/>
  <c r="AT88" i="53" s="1"/>
  <c r="Y88" i="53"/>
  <c r="Z88" i="53" s="1"/>
  <c r="AA88" i="53" s="1"/>
  <c r="AB88" i="53" s="1"/>
  <c r="AC88" i="53" s="1"/>
  <c r="AD88" i="53" s="1"/>
  <c r="AO87" i="53"/>
  <c r="AP87" i="53" s="1"/>
  <c r="AQ87" i="53" s="1"/>
  <c r="AR87" i="53" s="1"/>
  <c r="AS87" i="53" s="1"/>
  <c r="AT87" i="53" s="1"/>
  <c r="Y87" i="53"/>
  <c r="Z87" i="53" s="1"/>
  <c r="AA87" i="53" s="1"/>
  <c r="AB87" i="53" s="1"/>
  <c r="AC87" i="53" s="1"/>
  <c r="AD87" i="53" s="1"/>
  <c r="AO86" i="53"/>
  <c r="AP86" i="53" s="1"/>
  <c r="AQ86" i="53" s="1"/>
  <c r="AR86" i="53" s="1"/>
  <c r="AS86" i="53" s="1"/>
  <c r="AT86" i="53" s="1"/>
  <c r="Y86" i="53"/>
  <c r="Z86" i="53" s="1"/>
  <c r="AA86" i="53" s="1"/>
  <c r="AB86" i="53" s="1"/>
  <c r="AC86" i="53" s="1"/>
  <c r="AD86" i="53" s="1"/>
  <c r="AO85" i="53"/>
  <c r="AP85" i="53" s="1"/>
  <c r="AQ85" i="53" s="1"/>
  <c r="AR85" i="53" s="1"/>
  <c r="AS85" i="53" s="1"/>
  <c r="AT85" i="53" s="1"/>
  <c r="Y85" i="53"/>
  <c r="Z85" i="53" s="1"/>
  <c r="AA85" i="53" s="1"/>
  <c r="AB85" i="53" s="1"/>
  <c r="AC85" i="53" s="1"/>
  <c r="AD85" i="53" s="1"/>
  <c r="AO84" i="53"/>
  <c r="AP84" i="53" s="1"/>
  <c r="AQ84" i="53" s="1"/>
  <c r="AR84" i="53" s="1"/>
  <c r="AS84" i="53" s="1"/>
  <c r="AT84" i="53" s="1"/>
  <c r="Y84" i="53"/>
  <c r="Z84" i="53" s="1"/>
  <c r="AA84" i="53" s="1"/>
  <c r="AB84" i="53" s="1"/>
  <c r="AC84" i="53" s="1"/>
  <c r="AD84" i="53" s="1"/>
  <c r="AO83" i="53"/>
  <c r="AP83" i="53" s="1"/>
  <c r="AQ83" i="53" s="1"/>
  <c r="AR83" i="53" s="1"/>
  <c r="AS83" i="53" s="1"/>
  <c r="AT83" i="53" s="1"/>
  <c r="Y83" i="53"/>
  <c r="Z83" i="53" s="1"/>
  <c r="AA83" i="53" s="1"/>
  <c r="AB83" i="53" s="1"/>
  <c r="AC83" i="53" s="1"/>
  <c r="AD83" i="53" s="1"/>
  <c r="AO82" i="53"/>
  <c r="AP82" i="53" s="1"/>
  <c r="AQ82" i="53" s="1"/>
  <c r="AR82" i="53" s="1"/>
  <c r="AS82" i="53" s="1"/>
  <c r="AT82" i="53" s="1"/>
  <c r="Y82" i="53"/>
  <c r="Z82" i="53" s="1"/>
  <c r="AA82" i="53" s="1"/>
  <c r="AB82" i="53" s="1"/>
  <c r="AC82" i="53" s="1"/>
  <c r="AD82" i="53" s="1"/>
  <c r="AO81" i="53"/>
  <c r="AP81" i="53" s="1"/>
  <c r="AQ81" i="53" s="1"/>
  <c r="AR81" i="53" s="1"/>
  <c r="AS81" i="53" s="1"/>
  <c r="AT81" i="53" s="1"/>
  <c r="Y81" i="53"/>
  <c r="Z81" i="53" s="1"/>
  <c r="AA81" i="53" s="1"/>
  <c r="AB81" i="53" s="1"/>
  <c r="AC81" i="53" s="1"/>
  <c r="AD81" i="53" s="1"/>
  <c r="AO80" i="53"/>
  <c r="AP80" i="53" s="1"/>
  <c r="AQ80" i="53" s="1"/>
  <c r="AR80" i="53" s="1"/>
  <c r="AS80" i="53" s="1"/>
  <c r="AT80" i="53" s="1"/>
  <c r="Y80" i="53"/>
  <c r="Z80" i="53" s="1"/>
  <c r="AA80" i="53" s="1"/>
  <c r="AB80" i="53" s="1"/>
  <c r="AC80" i="53" s="1"/>
  <c r="AD80" i="53" s="1"/>
  <c r="AO79" i="53"/>
  <c r="AP79" i="53" s="1"/>
  <c r="AQ79" i="53" s="1"/>
  <c r="AR79" i="53" s="1"/>
  <c r="AS79" i="53" s="1"/>
  <c r="AT79" i="53" s="1"/>
  <c r="Y79" i="53"/>
  <c r="Z79" i="53" s="1"/>
  <c r="AA79" i="53" s="1"/>
  <c r="AB79" i="53" s="1"/>
  <c r="AC79" i="53" s="1"/>
  <c r="AD79" i="53" s="1"/>
  <c r="AO78" i="53"/>
  <c r="AP78" i="53" s="1"/>
  <c r="AQ78" i="53" s="1"/>
  <c r="AR78" i="53" s="1"/>
  <c r="AS78" i="53" s="1"/>
  <c r="AT78" i="53" s="1"/>
  <c r="Y78" i="53"/>
  <c r="Z78" i="53" s="1"/>
  <c r="AA78" i="53" s="1"/>
  <c r="AB78" i="53" s="1"/>
  <c r="AC78" i="53" s="1"/>
  <c r="AD78" i="53" s="1"/>
  <c r="AO77" i="53"/>
  <c r="AP77" i="53" s="1"/>
  <c r="AQ77" i="53" s="1"/>
  <c r="AR77" i="53" s="1"/>
  <c r="AS77" i="53" s="1"/>
  <c r="AT77" i="53" s="1"/>
  <c r="Y77" i="53"/>
  <c r="Z77" i="53" s="1"/>
  <c r="AA77" i="53" s="1"/>
  <c r="AB77" i="53" s="1"/>
  <c r="AC77" i="53" s="1"/>
  <c r="AD77" i="53" s="1"/>
  <c r="AO76" i="53"/>
  <c r="AP76" i="53" s="1"/>
  <c r="AQ76" i="53" s="1"/>
  <c r="AR76" i="53" s="1"/>
  <c r="AS76" i="53" s="1"/>
  <c r="AT76" i="53" s="1"/>
  <c r="Y76" i="53"/>
  <c r="Z76" i="53" s="1"/>
  <c r="AA76" i="53" s="1"/>
  <c r="AB76" i="53" s="1"/>
  <c r="AC76" i="53" s="1"/>
  <c r="AD76" i="53" s="1"/>
  <c r="AO75" i="53"/>
  <c r="AP75" i="53" s="1"/>
  <c r="AQ75" i="53" s="1"/>
  <c r="AR75" i="53" s="1"/>
  <c r="AS75" i="53" s="1"/>
  <c r="AT75" i="53" s="1"/>
  <c r="Y75" i="53"/>
  <c r="Z75" i="53" s="1"/>
  <c r="AA75" i="53" s="1"/>
  <c r="AB75" i="53" s="1"/>
  <c r="AC75" i="53" s="1"/>
  <c r="AD75" i="53" s="1"/>
  <c r="AO74" i="53"/>
  <c r="AP74" i="53" s="1"/>
  <c r="AQ74" i="53" s="1"/>
  <c r="AR74" i="53" s="1"/>
  <c r="AS74" i="53" s="1"/>
  <c r="AT74" i="53" s="1"/>
  <c r="Y74" i="53"/>
  <c r="Z74" i="53" s="1"/>
  <c r="AA74" i="53" s="1"/>
  <c r="AB74" i="53" s="1"/>
  <c r="AC74" i="53" s="1"/>
  <c r="AD74" i="53" s="1"/>
  <c r="AO73" i="53"/>
  <c r="AP73" i="53" s="1"/>
  <c r="AQ73" i="53" s="1"/>
  <c r="AR73" i="53" s="1"/>
  <c r="AS73" i="53" s="1"/>
  <c r="AT73" i="53" s="1"/>
  <c r="Y73" i="53"/>
  <c r="Z73" i="53" s="1"/>
  <c r="AA73" i="53" s="1"/>
  <c r="AB73" i="53" s="1"/>
  <c r="AC73" i="53" s="1"/>
  <c r="AD73" i="53" s="1"/>
  <c r="AO72" i="53"/>
  <c r="AP72" i="53" s="1"/>
  <c r="AQ72" i="53" s="1"/>
  <c r="AR72" i="53" s="1"/>
  <c r="AS72" i="53" s="1"/>
  <c r="AT72" i="53" s="1"/>
  <c r="Y72" i="53"/>
  <c r="Z72" i="53" s="1"/>
  <c r="AA72" i="53" s="1"/>
  <c r="AB72" i="53" s="1"/>
  <c r="AC72" i="53" s="1"/>
  <c r="AD72" i="53" s="1"/>
  <c r="AO71" i="53"/>
  <c r="AP71" i="53" s="1"/>
  <c r="AQ71" i="53" s="1"/>
  <c r="AR71" i="53" s="1"/>
  <c r="AS71" i="53" s="1"/>
  <c r="AT71" i="53" s="1"/>
  <c r="Y71" i="53"/>
  <c r="Z71" i="53" s="1"/>
  <c r="AA71" i="53" s="1"/>
  <c r="AB71" i="53" s="1"/>
  <c r="AC71" i="53" s="1"/>
  <c r="AD71" i="53" s="1"/>
  <c r="AO70" i="53"/>
  <c r="AP70" i="53" s="1"/>
  <c r="AQ70" i="53" s="1"/>
  <c r="AR70" i="53" s="1"/>
  <c r="AS70" i="53" s="1"/>
  <c r="AT70" i="53" s="1"/>
  <c r="Y70" i="53"/>
  <c r="Z70" i="53" s="1"/>
  <c r="AA70" i="53" s="1"/>
  <c r="AB70" i="53" s="1"/>
  <c r="AC70" i="53" s="1"/>
  <c r="AD70" i="53" s="1"/>
  <c r="AO69" i="53"/>
  <c r="AP69" i="53" s="1"/>
  <c r="AQ69" i="53" s="1"/>
  <c r="AR69" i="53" s="1"/>
  <c r="AS69" i="53" s="1"/>
  <c r="AT69" i="53" s="1"/>
  <c r="Y69" i="53"/>
  <c r="Z69" i="53" s="1"/>
  <c r="AA69" i="53" s="1"/>
  <c r="AB69" i="53" s="1"/>
  <c r="AC69" i="53" s="1"/>
  <c r="AD69" i="53" s="1"/>
  <c r="AO68" i="53"/>
  <c r="AP68" i="53" s="1"/>
  <c r="AQ68" i="53" s="1"/>
  <c r="AR68" i="53" s="1"/>
  <c r="AS68" i="53" s="1"/>
  <c r="AT68" i="53" s="1"/>
  <c r="Y68" i="53"/>
  <c r="Z68" i="53" s="1"/>
  <c r="AA68" i="53" s="1"/>
  <c r="AB68" i="53" s="1"/>
  <c r="AC68" i="53" s="1"/>
  <c r="AD68" i="53" s="1"/>
  <c r="AO67" i="53"/>
  <c r="AP67" i="53" s="1"/>
  <c r="AQ67" i="53" s="1"/>
  <c r="AR67" i="53" s="1"/>
  <c r="AS67" i="53" s="1"/>
  <c r="AT67" i="53" s="1"/>
  <c r="Y67" i="53"/>
  <c r="Z67" i="53" s="1"/>
  <c r="AA67" i="53" s="1"/>
  <c r="AB67" i="53" s="1"/>
  <c r="AC67" i="53" s="1"/>
  <c r="AD67" i="53" s="1"/>
  <c r="AO66" i="53"/>
  <c r="AP66" i="53" s="1"/>
  <c r="AQ66" i="53" s="1"/>
  <c r="AR66" i="53" s="1"/>
  <c r="AS66" i="53" s="1"/>
  <c r="AT66" i="53" s="1"/>
  <c r="Y66" i="53"/>
  <c r="Z66" i="53" s="1"/>
  <c r="AA66" i="53" s="1"/>
  <c r="AB66" i="53" s="1"/>
  <c r="AC66" i="53" s="1"/>
  <c r="AD66" i="53" s="1"/>
  <c r="AO65" i="53"/>
  <c r="AP65" i="53" s="1"/>
  <c r="AQ65" i="53" s="1"/>
  <c r="AR65" i="53" s="1"/>
  <c r="AS65" i="53" s="1"/>
  <c r="AT65" i="53" s="1"/>
  <c r="Y65" i="53"/>
  <c r="Z65" i="53" s="1"/>
  <c r="AA65" i="53" s="1"/>
  <c r="AB65" i="53" s="1"/>
  <c r="AC65" i="53" s="1"/>
  <c r="AD65" i="53" s="1"/>
  <c r="AO64" i="53"/>
  <c r="AP64" i="53" s="1"/>
  <c r="AQ64" i="53" s="1"/>
  <c r="AR64" i="53" s="1"/>
  <c r="AS64" i="53" s="1"/>
  <c r="AT64" i="53" s="1"/>
  <c r="Y64" i="53"/>
  <c r="Z64" i="53" s="1"/>
  <c r="AA64" i="53" s="1"/>
  <c r="AB64" i="53" s="1"/>
  <c r="AC64" i="53" s="1"/>
  <c r="AD64" i="53" s="1"/>
  <c r="AO63" i="53"/>
  <c r="AP63" i="53" s="1"/>
  <c r="AQ63" i="53" s="1"/>
  <c r="AR63" i="53" s="1"/>
  <c r="AS63" i="53" s="1"/>
  <c r="AT63" i="53" s="1"/>
  <c r="Y63" i="53"/>
  <c r="Z63" i="53" s="1"/>
  <c r="AA63" i="53" s="1"/>
  <c r="AB63" i="53" s="1"/>
  <c r="AC63" i="53" s="1"/>
  <c r="AD63" i="53" s="1"/>
  <c r="AO62" i="53"/>
  <c r="AP62" i="53" s="1"/>
  <c r="AQ62" i="53" s="1"/>
  <c r="AR62" i="53" s="1"/>
  <c r="AS62" i="53" s="1"/>
  <c r="AT62" i="53" s="1"/>
  <c r="Y62" i="53"/>
  <c r="Z62" i="53" s="1"/>
  <c r="AA62" i="53" s="1"/>
  <c r="AB62" i="53" s="1"/>
  <c r="AC62" i="53" s="1"/>
  <c r="AD62" i="53" s="1"/>
  <c r="AO61" i="53"/>
  <c r="AP61" i="53" s="1"/>
  <c r="AQ61" i="53" s="1"/>
  <c r="AR61" i="53" s="1"/>
  <c r="AS61" i="53" s="1"/>
  <c r="AT61" i="53" s="1"/>
  <c r="Y61" i="53"/>
  <c r="Z61" i="53" s="1"/>
  <c r="AA61" i="53" s="1"/>
  <c r="AB61" i="53" s="1"/>
  <c r="AC61" i="53" s="1"/>
  <c r="AD61" i="53" s="1"/>
  <c r="AO60" i="53"/>
  <c r="AP60" i="53" s="1"/>
  <c r="AQ60" i="53" s="1"/>
  <c r="AR60" i="53" s="1"/>
  <c r="AS60" i="53" s="1"/>
  <c r="AT60" i="53" s="1"/>
  <c r="Y60" i="53"/>
  <c r="Z60" i="53" s="1"/>
  <c r="AA60" i="53" s="1"/>
  <c r="AB60" i="53" s="1"/>
  <c r="AC60" i="53" s="1"/>
  <c r="AD60" i="53" s="1"/>
  <c r="AO59" i="53"/>
  <c r="AP59" i="53" s="1"/>
  <c r="AQ59" i="53" s="1"/>
  <c r="AR59" i="53" s="1"/>
  <c r="AS59" i="53" s="1"/>
  <c r="AT59" i="53" s="1"/>
  <c r="Y59" i="53"/>
  <c r="Z59" i="53" s="1"/>
  <c r="AA59" i="53" s="1"/>
  <c r="AB59" i="53" s="1"/>
  <c r="AC59" i="53" s="1"/>
  <c r="AD59" i="53" s="1"/>
  <c r="AO58" i="53"/>
  <c r="AP58" i="53" s="1"/>
  <c r="AQ58" i="53" s="1"/>
  <c r="AR58" i="53" s="1"/>
  <c r="AS58" i="53" s="1"/>
  <c r="AT58" i="53" s="1"/>
  <c r="Y58" i="53"/>
  <c r="Z58" i="53" s="1"/>
  <c r="AA58" i="53" s="1"/>
  <c r="AB58" i="53" s="1"/>
  <c r="AC58" i="53" s="1"/>
  <c r="AD58" i="53" s="1"/>
  <c r="AO57" i="53"/>
  <c r="AP57" i="53" s="1"/>
  <c r="AQ57" i="53" s="1"/>
  <c r="AR57" i="53" s="1"/>
  <c r="AS57" i="53" s="1"/>
  <c r="AT57" i="53" s="1"/>
  <c r="Y57" i="53"/>
  <c r="Z57" i="53" s="1"/>
  <c r="AA57" i="53" s="1"/>
  <c r="AB57" i="53" s="1"/>
  <c r="AC57" i="53" s="1"/>
  <c r="AD57" i="53" s="1"/>
  <c r="AO56" i="53"/>
  <c r="AP56" i="53" s="1"/>
  <c r="AQ56" i="53" s="1"/>
  <c r="AR56" i="53" s="1"/>
  <c r="AS56" i="53" s="1"/>
  <c r="AT56" i="53" s="1"/>
  <c r="Y56" i="53"/>
  <c r="Z56" i="53" s="1"/>
  <c r="AA56" i="53" s="1"/>
  <c r="AB56" i="53" s="1"/>
  <c r="AC56" i="53" s="1"/>
  <c r="AD56" i="53" s="1"/>
  <c r="AO55" i="53"/>
  <c r="AP55" i="53" s="1"/>
  <c r="AQ55" i="53" s="1"/>
  <c r="AR55" i="53" s="1"/>
  <c r="AS55" i="53" s="1"/>
  <c r="AT55" i="53" s="1"/>
  <c r="Y55" i="53"/>
  <c r="Z55" i="53" s="1"/>
  <c r="AA55" i="53" s="1"/>
  <c r="AB55" i="53" s="1"/>
  <c r="AC55" i="53" s="1"/>
  <c r="AD55" i="53" s="1"/>
  <c r="AO54" i="53"/>
  <c r="AP54" i="53" s="1"/>
  <c r="AQ54" i="53" s="1"/>
  <c r="AR54" i="53" s="1"/>
  <c r="AS54" i="53" s="1"/>
  <c r="AT54" i="53" s="1"/>
  <c r="Y54" i="53"/>
  <c r="Z54" i="53" s="1"/>
  <c r="AA54" i="53" s="1"/>
  <c r="AB54" i="53" s="1"/>
  <c r="AC54" i="53" s="1"/>
  <c r="AD54" i="53" s="1"/>
  <c r="AO53" i="53"/>
  <c r="AP53" i="53" s="1"/>
  <c r="AQ53" i="53" s="1"/>
  <c r="AR53" i="53" s="1"/>
  <c r="AS53" i="53" s="1"/>
  <c r="AT53" i="53" s="1"/>
  <c r="Y53" i="53"/>
  <c r="Z53" i="53" s="1"/>
  <c r="AA53" i="53" s="1"/>
  <c r="AB53" i="53" s="1"/>
  <c r="AC53" i="53" s="1"/>
  <c r="AD53" i="53" s="1"/>
  <c r="AO52" i="53"/>
  <c r="AP52" i="53" s="1"/>
  <c r="AQ52" i="53" s="1"/>
  <c r="AR52" i="53" s="1"/>
  <c r="AS52" i="53" s="1"/>
  <c r="AT52" i="53" s="1"/>
  <c r="Y52" i="53"/>
  <c r="Z52" i="53" s="1"/>
  <c r="AA52" i="53" s="1"/>
  <c r="AB52" i="53" s="1"/>
  <c r="AC52" i="53" s="1"/>
  <c r="AD52" i="53" s="1"/>
  <c r="AO51" i="53"/>
  <c r="AP51" i="53" s="1"/>
  <c r="AQ51" i="53" s="1"/>
  <c r="AR51" i="53" s="1"/>
  <c r="AS51" i="53" s="1"/>
  <c r="AT51" i="53" s="1"/>
  <c r="Y51" i="53"/>
  <c r="Z51" i="53" s="1"/>
  <c r="AA51" i="53" s="1"/>
  <c r="AB51" i="53" s="1"/>
  <c r="AC51" i="53" s="1"/>
  <c r="AD51" i="53" s="1"/>
  <c r="AO50" i="53"/>
  <c r="AP50" i="53" s="1"/>
  <c r="AQ50" i="53" s="1"/>
  <c r="AR50" i="53" s="1"/>
  <c r="AS50" i="53" s="1"/>
  <c r="AT50" i="53" s="1"/>
  <c r="Y50" i="53"/>
  <c r="Z50" i="53" s="1"/>
  <c r="AA50" i="53" s="1"/>
  <c r="AB50" i="53" s="1"/>
  <c r="AC50" i="53" s="1"/>
  <c r="AD50" i="53" s="1"/>
  <c r="AO49" i="53"/>
  <c r="AP49" i="53" s="1"/>
  <c r="AQ49" i="53" s="1"/>
  <c r="AR49" i="53" s="1"/>
  <c r="AS49" i="53" s="1"/>
  <c r="AT49" i="53" s="1"/>
  <c r="Y49" i="53"/>
  <c r="Z49" i="53" s="1"/>
  <c r="AA49" i="53" s="1"/>
  <c r="AB49" i="53" s="1"/>
  <c r="AC49" i="53" s="1"/>
  <c r="AD49" i="53" s="1"/>
  <c r="AO48" i="53"/>
  <c r="AP48" i="53" s="1"/>
  <c r="AQ48" i="53" s="1"/>
  <c r="AR48" i="53" s="1"/>
  <c r="AS48" i="53" s="1"/>
  <c r="AT48" i="53" s="1"/>
  <c r="Y48" i="53"/>
  <c r="Z48" i="53" s="1"/>
  <c r="AA48" i="53" s="1"/>
  <c r="AB48" i="53" s="1"/>
  <c r="AC48" i="53" s="1"/>
  <c r="AD48" i="53" s="1"/>
  <c r="AO47" i="53"/>
  <c r="AP47" i="53" s="1"/>
  <c r="AQ47" i="53" s="1"/>
  <c r="AR47" i="53" s="1"/>
  <c r="AS47" i="53" s="1"/>
  <c r="AT47" i="53" s="1"/>
  <c r="Y47" i="53"/>
  <c r="Z47" i="53" s="1"/>
  <c r="AA47" i="53" s="1"/>
  <c r="AB47" i="53" s="1"/>
  <c r="AC47" i="53" s="1"/>
  <c r="AD47" i="53" s="1"/>
  <c r="AO46" i="53"/>
  <c r="AP46" i="53" s="1"/>
  <c r="AQ46" i="53" s="1"/>
  <c r="AR46" i="53" s="1"/>
  <c r="AS46" i="53" s="1"/>
  <c r="AT46" i="53" s="1"/>
  <c r="Y46" i="53"/>
  <c r="Z46" i="53" s="1"/>
  <c r="AA46" i="53" s="1"/>
  <c r="AB46" i="53" s="1"/>
  <c r="AC46" i="53" s="1"/>
  <c r="AD46" i="53" s="1"/>
  <c r="AO45" i="53"/>
  <c r="AP45" i="53" s="1"/>
  <c r="AQ45" i="53" s="1"/>
  <c r="AR45" i="53" s="1"/>
  <c r="AS45" i="53" s="1"/>
  <c r="AT45" i="53" s="1"/>
  <c r="Y45" i="53"/>
  <c r="Z45" i="53" s="1"/>
  <c r="AA45" i="53" s="1"/>
  <c r="AB45" i="53" s="1"/>
  <c r="AC45" i="53" s="1"/>
  <c r="AD45" i="53" s="1"/>
  <c r="AO44" i="53"/>
  <c r="AP44" i="53" s="1"/>
  <c r="AQ44" i="53" s="1"/>
  <c r="AR44" i="53" s="1"/>
  <c r="AS44" i="53" s="1"/>
  <c r="AT44" i="53" s="1"/>
  <c r="Y44" i="53"/>
  <c r="Z44" i="53" s="1"/>
  <c r="AA44" i="53" s="1"/>
  <c r="AB44" i="53" s="1"/>
  <c r="AC44" i="53" s="1"/>
  <c r="AD44" i="53" s="1"/>
  <c r="AO43" i="53"/>
  <c r="AP43" i="53" s="1"/>
  <c r="AQ43" i="53" s="1"/>
  <c r="AR43" i="53" s="1"/>
  <c r="AS43" i="53" s="1"/>
  <c r="AT43" i="53" s="1"/>
  <c r="Y43" i="53"/>
  <c r="Z43" i="53" s="1"/>
  <c r="AA43" i="53" s="1"/>
  <c r="AB43" i="53" s="1"/>
  <c r="AC43" i="53" s="1"/>
  <c r="AD43" i="53" s="1"/>
  <c r="AO42" i="53"/>
  <c r="AP42" i="53" s="1"/>
  <c r="AQ42" i="53" s="1"/>
  <c r="AR42" i="53" s="1"/>
  <c r="AS42" i="53" s="1"/>
  <c r="AT42" i="53" s="1"/>
  <c r="Y42" i="53"/>
  <c r="Z42" i="53" s="1"/>
  <c r="AA42" i="53" s="1"/>
  <c r="AB42" i="53" s="1"/>
  <c r="AC42" i="53" s="1"/>
  <c r="AD42" i="53" s="1"/>
  <c r="AO41" i="53"/>
  <c r="AP41" i="53" s="1"/>
  <c r="AQ41" i="53" s="1"/>
  <c r="AR41" i="53" s="1"/>
  <c r="AS41" i="53" s="1"/>
  <c r="AT41" i="53" s="1"/>
  <c r="Y41" i="53"/>
  <c r="Z41" i="53" s="1"/>
  <c r="AA41" i="53" s="1"/>
  <c r="AB41" i="53" s="1"/>
  <c r="AC41" i="53" s="1"/>
  <c r="AD41" i="53" s="1"/>
  <c r="AO40" i="53"/>
  <c r="AP40" i="53" s="1"/>
  <c r="AQ40" i="53" s="1"/>
  <c r="AR40" i="53" s="1"/>
  <c r="AS40" i="53" s="1"/>
  <c r="AT40" i="53" s="1"/>
  <c r="Y40" i="53"/>
  <c r="Z40" i="53" s="1"/>
  <c r="AA40" i="53" s="1"/>
  <c r="AB40" i="53" s="1"/>
  <c r="AC40" i="53" s="1"/>
  <c r="AD40" i="53" s="1"/>
  <c r="AO39" i="53"/>
  <c r="AP39" i="53" s="1"/>
  <c r="AQ39" i="53" s="1"/>
  <c r="AR39" i="53" s="1"/>
  <c r="AS39" i="53" s="1"/>
  <c r="AT39" i="53" s="1"/>
  <c r="Y39" i="53"/>
  <c r="Z39" i="53" s="1"/>
  <c r="AA39" i="53" s="1"/>
  <c r="AB39" i="53" s="1"/>
  <c r="AC39" i="53" s="1"/>
  <c r="AD39" i="53" s="1"/>
  <c r="AO38" i="53"/>
  <c r="AP38" i="53" s="1"/>
  <c r="AQ38" i="53" s="1"/>
  <c r="AR38" i="53" s="1"/>
  <c r="AS38" i="53" s="1"/>
  <c r="AT38" i="53" s="1"/>
  <c r="Y38" i="53"/>
  <c r="Z38" i="53" s="1"/>
  <c r="AA38" i="53" s="1"/>
  <c r="AB38" i="53" s="1"/>
  <c r="AC38" i="53" s="1"/>
  <c r="AD38" i="53" s="1"/>
  <c r="AO37" i="53"/>
  <c r="AP37" i="53" s="1"/>
  <c r="AQ37" i="53" s="1"/>
  <c r="AR37" i="53" s="1"/>
  <c r="AS37" i="53" s="1"/>
  <c r="AT37" i="53" s="1"/>
  <c r="Y37" i="53"/>
  <c r="Z37" i="53" s="1"/>
  <c r="AA37" i="53" s="1"/>
  <c r="AB37" i="53" s="1"/>
  <c r="AC37" i="53" s="1"/>
  <c r="AD37" i="53" s="1"/>
  <c r="AO36" i="53"/>
  <c r="AP36" i="53" s="1"/>
  <c r="AQ36" i="53" s="1"/>
  <c r="AR36" i="53" s="1"/>
  <c r="AS36" i="53" s="1"/>
  <c r="AT36" i="53" s="1"/>
  <c r="Y36" i="53"/>
  <c r="Z36" i="53" s="1"/>
  <c r="AA36" i="53" s="1"/>
  <c r="AB36" i="53" s="1"/>
  <c r="AC36" i="53" s="1"/>
  <c r="AD36" i="53" s="1"/>
  <c r="AO35" i="53"/>
  <c r="AP35" i="53" s="1"/>
  <c r="AQ35" i="53" s="1"/>
  <c r="AR35" i="53" s="1"/>
  <c r="AS35" i="53" s="1"/>
  <c r="AT35" i="53" s="1"/>
  <c r="Y35" i="53"/>
  <c r="Z35" i="53" s="1"/>
  <c r="AA35" i="53" s="1"/>
  <c r="AB35" i="53" s="1"/>
  <c r="AC35" i="53" s="1"/>
  <c r="AD35" i="53" s="1"/>
  <c r="AO34" i="53"/>
  <c r="AP34" i="53" s="1"/>
  <c r="AQ34" i="53" s="1"/>
  <c r="AR34" i="53" s="1"/>
  <c r="AS34" i="53" s="1"/>
  <c r="AT34" i="53" s="1"/>
  <c r="Y34" i="53"/>
  <c r="Z34" i="53" s="1"/>
  <c r="AA34" i="53" s="1"/>
  <c r="AB34" i="53" s="1"/>
  <c r="AC34" i="53" s="1"/>
  <c r="AD34" i="53" s="1"/>
  <c r="AO33" i="53"/>
  <c r="AP33" i="53" s="1"/>
  <c r="AQ33" i="53" s="1"/>
  <c r="AR33" i="53" s="1"/>
  <c r="AS33" i="53" s="1"/>
  <c r="AT33" i="53" s="1"/>
  <c r="Y33" i="53"/>
  <c r="Z33" i="53" s="1"/>
  <c r="AA33" i="53" s="1"/>
  <c r="AB33" i="53" s="1"/>
  <c r="AC33" i="53" s="1"/>
  <c r="AD33" i="53" s="1"/>
  <c r="AO32" i="53"/>
  <c r="AP32" i="53" s="1"/>
  <c r="AQ32" i="53" s="1"/>
  <c r="AR32" i="53" s="1"/>
  <c r="AS32" i="53" s="1"/>
  <c r="AT32" i="53" s="1"/>
  <c r="Y32" i="53"/>
  <c r="Z32" i="53" s="1"/>
  <c r="AA32" i="53" s="1"/>
  <c r="AB32" i="53" s="1"/>
  <c r="AC32" i="53" s="1"/>
  <c r="AD32" i="53" s="1"/>
  <c r="AO31" i="53"/>
  <c r="AP31" i="53" s="1"/>
  <c r="AQ31" i="53" s="1"/>
  <c r="AR31" i="53" s="1"/>
  <c r="AS31" i="53" s="1"/>
  <c r="AT31" i="53" s="1"/>
  <c r="Y31" i="53"/>
  <c r="Z31" i="53" s="1"/>
  <c r="AA31" i="53" s="1"/>
  <c r="AB31" i="53" s="1"/>
  <c r="AC31" i="53" s="1"/>
  <c r="AD31" i="53" s="1"/>
  <c r="AO30" i="53"/>
  <c r="AP30" i="53" s="1"/>
  <c r="AQ30" i="53" s="1"/>
  <c r="AR30" i="53" s="1"/>
  <c r="AS30" i="53" s="1"/>
  <c r="AT30" i="53" s="1"/>
  <c r="Y30" i="53"/>
  <c r="Z30" i="53" s="1"/>
  <c r="AA30" i="53" s="1"/>
  <c r="AB30" i="53" s="1"/>
  <c r="AC30" i="53" s="1"/>
  <c r="AD30" i="53" s="1"/>
  <c r="AO29" i="53"/>
  <c r="AP29" i="53" s="1"/>
  <c r="AQ29" i="53" s="1"/>
  <c r="AR29" i="53" s="1"/>
  <c r="AS29" i="53" s="1"/>
  <c r="AT29" i="53" s="1"/>
  <c r="Y29" i="53"/>
  <c r="Z29" i="53" s="1"/>
  <c r="AA29" i="53" s="1"/>
  <c r="AB29" i="53" s="1"/>
  <c r="AC29" i="53" s="1"/>
  <c r="AD29" i="53" s="1"/>
  <c r="AO28" i="53"/>
  <c r="AP28" i="53" s="1"/>
  <c r="AQ28" i="53" s="1"/>
  <c r="AR28" i="53" s="1"/>
  <c r="AS28" i="53" s="1"/>
  <c r="AT28" i="53" s="1"/>
  <c r="Y28" i="53"/>
  <c r="Z28" i="53" s="1"/>
  <c r="AA28" i="53" s="1"/>
  <c r="AB28" i="53" s="1"/>
  <c r="AC28" i="53" s="1"/>
  <c r="AD28" i="53" s="1"/>
  <c r="AO27" i="53"/>
  <c r="AP27" i="53" s="1"/>
  <c r="AQ27" i="53" s="1"/>
  <c r="AR27" i="53" s="1"/>
  <c r="AS27" i="53" s="1"/>
  <c r="AT27" i="53" s="1"/>
  <c r="Y27" i="53"/>
  <c r="Z27" i="53" s="1"/>
  <c r="AA27" i="53" s="1"/>
  <c r="AB27" i="53" s="1"/>
  <c r="AC27" i="53" s="1"/>
  <c r="AD27" i="53" s="1"/>
  <c r="AO26" i="53"/>
  <c r="AP26" i="53" s="1"/>
  <c r="AQ26" i="53" s="1"/>
  <c r="AR26" i="53" s="1"/>
  <c r="AS26" i="53" s="1"/>
  <c r="AT26" i="53" s="1"/>
  <c r="Y26" i="53"/>
  <c r="Z26" i="53" s="1"/>
  <c r="AA26" i="53" s="1"/>
  <c r="AB26" i="53" s="1"/>
  <c r="AC26" i="53" s="1"/>
  <c r="AD26" i="53" s="1"/>
  <c r="AO25" i="53"/>
  <c r="AP25" i="53" s="1"/>
  <c r="AQ25" i="53" s="1"/>
  <c r="AR25" i="53" s="1"/>
  <c r="AS25" i="53" s="1"/>
  <c r="AT25" i="53" s="1"/>
  <c r="Y25" i="53"/>
  <c r="Z25" i="53" s="1"/>
  <c r="AA25" i="53" s="1"/>
  <c r="AB25" i="53" s="1"/>
  <c r="AC25" i="53" s="1"/>
  <c r="AD25" i="53" s="1"/>
  <c r="AO24" i="53"/>
  <c r="AP24" i="53" s="1"/>
  <c r="AQ24" i="53" s="1"/>
  <c r="AR24" i="53" s="1"/>
  <c r="AS24" i="53" s="1"/>
  <c r="AT24" i="53" s="1"/>
  <c r="Y24" i="53"/>
  <c r="Z24" i="53" s="1"/>
  <c r="AA24" i="53" s="1"/>
  <c r="AB24" i="53" s="1"/>
  <c r="AC24" i="53" s="1"/>
  <c r="AD24" i="53" s="1"/>
  <c r="AO23" i="53"/>
  <c r="AP23" i="53" s="1"/>
  <c r="AQ23" i="53" s="1"/>
  <c r="AR23" i="53" s="1"/>
  <c r="AS23" i="53" s="1"/>
  <c r="AT23" i="53" s="1"/>
  <c r="Y23" i="53"/>
  <c r="Z23" i="53" s="1"/>
  <c r="AA23" i="53" s="1"/>
  <c r="AB23" i="53" s="1"/>
  <c r="AC23" i="53" s="1"/>
  <c r="AD23" i="53" s="1"/>
  <c r="AO22" i="53"/>
  <c r="AP22" i="53" s="1"/>
  <c r="AQ22" i="53" s="1"/>
  <c r="AR22" i="53" s="1"/>
  <c r="AS22" i="53" s="1"/>
  <c r="AT22" i="53" s="1"/>
  <c r="Y22" i="53"/>
  <c r="Z22" i="53" s="1"/>
  <c r="AA22" i="53" s="1"/>
  <c r="AB22" i="53" s="1"/>
  <c r="AC22" i="53" s="1"/>
  <c r="AD22" i="53" s="1"/>
  <c r="AO21" i="53"/>
  <c r="AP21" i="53" s="1"/>
  <c r="AQ21" i="53" s="1"/>
  <c r="AR21" i="53" s="1"/>
  <c r="AS21" i="53" s="1"/>
  <c r="AT21" i="53" s="1"/>
  <c r="Y21" i="53"/>
  <c r="Z21" i="53" s="1"/>
  <c r="AA21" i="53" s="1"/>
  <c r="AB21" i="53" s="1"/>
  <c r="AC21" i="53" s="1"/>
  <c r="AD21" i="53" s="1"/>
  <c r="AO20" i="53"/>
  <c r="AP20" i="53" s="1"/>
  <c r="AQ20" i="53" s="1"/>
  <c r="AR20" i="53" s="1"/>
  <c r="AS20" i="53" s="1"/>
  <c r="AT20" i="53" s="1"/>
  <c r="Y20" i="53"/>
  <c r="Z20" i="53" s="1"/>
  <c r="AA20" i="53" s="1"/>
  <c r="AB20" i="53" s="1"/>
  <c r="AC20" i="53" s="1"/>
  <c r="AD20" i="53" s="1"/>
  <c r="AO19" i="53"/>
  <c r="AP19" i="53" s="1"/>
  <c r="AQ19" i="53" s="1"/>
  <c r="AR19" i="53" s="1"/>
  <c r="AS19" i="53" s="1"/>
  <c r="AT19" i="53" s="1"/>
  <c r="Y19" i="53"/>
  <c r="Z19" i="53" s="1"/>
  <c r="AA19" i="53" s="1"/>
  <c r="AB19" i="53" s="1"/>
  <c r="AC19" i="53" s="1"/>
  <c r="AD19" i="53" s="1"/>
  <c r="AO18" i="53"/>
  <c r="AP18" i="53" s="1"/>
  <c r="AQ18" i="53" s="1"/>
  <c r="AR18" i="53" s="1"/>
  <c r="AS18" i="53" s="1"/>
  <c r="AT18" i="53" s="1"/>
  <c r="Y18" i="53"/>
  <c r="Z18" i="53" s="1"/>
  <c r="AA18" i="53" s="1"/>
  <c r="AB18" i="53" s="1"/>
  <c r="AC18" i="53" s="1"/>
  <c r="AD18" i="53" s="1"/>
  <c r="AO17" i="53"/>
  <c r="AP17" i="53" s="1"/>
  <c r="AQ17" i="53" s="1"/>
  <c r="AR17" i="53" s="1"/>
  <c r="AS17" i="53" s="1"/>
  <c r="AT17" i="53" s="1"/>
  <c r="Y17" i="53"/>
  <c r="Z17" i="53" s="1"/>
  <c r="AA17" i="53" s="1"/>
  <c r="AB17" i="53" s="1"/>
  <c r="AC17" i="53" s="1"/>
  <c r="AD17" i="53" s="1"/>
  <c r="AO16" i="53"/>
  <c r="AP16" i="53" s="1"/>
  <c r="AQ16" i="53" s="1"/>
  <c r="AR16" i="53" s="1"/>
  <c r="AS16" i="53" s="1"/>
  <c r="AT16" i="53" s="1"/>
  <c r="Y16" i="53"/>
  <c r="Z16" i="53" s="1"/>
  <c r="AA16" i="53" s="1"/>
  <c r="AB16" i="53" s="1"/>
  <c r="AC16" i="53" s="1"/>
  <c r="AD16" i="53" s="1"/>
  <c r="I29" i="53"/>
  <c r="G29" i="43" s="1"/>
  <c r="I17" i="53"/>
  <c r="I25" i="53"/>
  <c r="G25" i="43" s="1"/>
  <c r="I21" i="53"/>
  <c r="G21" i="43" s="1"/>
  <c r="I32" i="53"/>
  <c r="G32" i="43" s="1"/>
  <c r="I20" i="53"/>
  <c r="G20" i="43" s="1"/>
  <c r="I129" i="53"/>
  <c r="G129" i="43" s="1"/>
  <c r="I65" i="53"/>
  <c r="I61" i="53"/>
  <c r="G61" i="43" s="1"/>
  <c r="I57" i="53"/>
  <c r="G57" i="43" s="1"/>
  <c r="I49" i="53"/>
  <c r="I45" i="53"/>
  <c r="G45" i="43" s="1"/>
  <c r="I41" i="53"/>
  <c r="G41" i="43" s="1"/>
  <c r="I24" i="53"/>
  <c r="G24" i="43" s="1"/>
  <c r="I92" i="53"/>
  <c r="G92" i="43" s="1"/>
  <c r="I104" i="53"/>
  <c r="I106" i="53"/>
  <c r="G106" i="43" s="1"/>
  <c r="I109" i="53"/>
  <c r="G109" i="43" s="1"/>
  <c r="I124" i="53"/>
  <c r="G124" i="43" s="1"/>
  <c r="I128" i="53"/>
  <c r="G128" i="43" s="1"/>
  <c r="I40" i="53"/>
  <c r="G40" i="43" s="1"/>
  <c r="I44" i="53"/>
  <c r="G44" i="43" s="1"/>
  <c r="I56" i="53"/>
  <c r="G56" i="43" s="1"/>
  <c r="I60" i="53"/>
  <c r="G60" i="43" s="1"/>
  <c r="I72" i="53"/>
  <c r="G72" i="43" s="1"/>
  <c r="I76" i="53"/>
  <c r="G76" i="43" s="1"/>
  <c r="I117" i="53"/>
  <c r="G117" i="43" s="1"/>
  <c r="I133" i="53"/>
  <c r="G133" i="43" s="1"/>
  <c r="H70" i="29"/>
  <c r="P70" i="29" s="1"/>
  <c r="H72" i="29"/>
  <c r="P72" i="29" s="1"/>
  <c r="H115" i="29"/>
  <c r="P115" i="29" s="1"/>
  <c r="H113" i="29"/>
  <c r="P113" i="29" s="1"/>
  <c r="H111" i="29"/>
  <c r="P111" i="29" s="1"/>
  <c r="H109" i="29"/>
  <c r="P109" i="29" s="1"/>
  <c r="H107" i="29"/>
  <c r="P107" i="29" s="1"/>
  <c r="H105" i="29"/>
  <c r="P105" i="29" s="1"/>
  <c r="H103" i="29"/>
  <c r="P103" i="29" s="1"/>
  <c r="H101" i="29"/>
  <c r="P101" i="29" s="1"/>
  <c r="H99" i="29"/>
  <c r="P99" i="29" s="1"/>
  <c r="H76" i="29"/>
  <c r="P76" i="29" s="1"/>
  <c r="H78" i="29"/>
  <c r="P78" i="29" s="1"/>
  <c r="H80" i="29"/>
  <c r="P80" i="29" s="1"/>
  <c r="H82" i="29"/>
  <c r="P82" i="29" s="1"/>
  <c r="H84" i="29"/>
  <c r="P84" i="29" s="1"/>
  <c r="H86" i="29"/>
  <c r="P86" i="29" s="1"/>
  <c r="H88" i="29"/>
  <c r="P88" i="29" s="1"/>
  <c r="H90" i="29"/>
  <c r="P90" i="29" s="1"/>
  <c r="H92" i="29"/>
  <c r="P92" i="29" s="1"/>
  <c r="H94" i="29"/>
  <c r="P94" i="29" s="1"/>
  <c r="H96" i="29"/>
  <c r="P96" i="29" s="1"/>
  <c r="H116" i="29"/>
  <c r="P116" i="29" s="1"/>
  <c r="H114" i="29"/>
  <c r="P114" i="29" s="1"/>
  <c r="H112" i="29"/>
  <c r="P112" i="29" s="1"/>
  <c r="H110" i="29"/>
  <c r="P110" i="29" s="1"/>
  <c r="H108" i="29"/>
  <c r="P108" i="29" s="1"/>
  <c r="H106" i="29"/>
  <c r="P106" i="29" s="1"/>
  <c r="H104" i="29"/>
  <c r="P104" i="29" s="1"/>
  <c r="H102" i="29"/>
  <c r="P102" i="29" s="1"/>
  <c r="H100" i="29"/>
  <c r="P100" i="29" s="1"/>
  <c r="H98" i="29"/>
  <c r="P98" i="29" s="1"/>
  <c r="H75" i="29"/>
  <c r="P75" i="29" s="1"/>
  <c r="H77" i="29"/>
  <c r="P77" i="29" s="1"/>
  <c r="H79" i="29"/>
  <c r="P79" i="29" s="1"/>
  <c r="H81" i="29"/>
  <c r="P81" i="29" s="1"/>
  <c r="H83" i="29"/>
  <c r="P83" i="29" s="1"/>
  <c r="H85" i="29"/>
  <c r="P85" i="29" s="1"/>
  <c r="H87" i="29"/>
  <c r="P87" i="29" s="1"/>
  <c r="H89" i="29"/>
  <c r="P89" i="29" s="1"/>
  <c r="H91" i="29"/>
  <c r="P91" i="29" s="1"/>
  <c r="H93" i="29"/>
  <c r="P93" i="29" s="1"/>
  <c r="H95" i="29"/>
  <c r="P95" i="29" s="1"/>
  <c r="G53" i="29"/>
  <c r="H74" i="29"/>
  <c r="P74" i="29" s="1"/>
  <c r="I85" i="29"/>
  <c r="AG18" i="43"/>
  <c r="AH18" i="43" s="1"/>
  <c r="AI18" i="43" s="1"/>
  <c r="AJ18" i="43" s="1"/>
  <c r="AG19" i="43"/>
  <c r="AH19" i="43" s="1"/>
  <c r="AI19" i="43" s="1"/>
  <c r="AJ19" i="43" s="1"/>
  <c r="AG20" i="43"/>
  <c r="AH20" i="43" s="1"/>
  <c r="AI20" i="43" s="1"/>
  <c r="AJ20" i="43" s="1"/>
  <c r="AG21" i="43"/>
  <c r="AH21" i="43" s="1"/>
  <c r="AI21" i="43" s="1"/>
  <c r="AJ21" i="43" s="1"/>
  <c r="AG22" i="43"/>
  <c r="AH22" i="43" s="1"/>
  <c r="AI22" i="43" s="1"/>
  <c r="AJ22" i="43" s="1"/>
  <c r="AG23" i="43"/>
  <c r="AH23" i="43" s="1"/>
  <c r="AI23" i="43" s="1"/>
  <c r="AJ23" i="43" s="1"/>
  <c r="AG24" i="43"/>
  <c r="AH24" i="43" s="1"/>
  <c r="AI24" i="43" s="1"/>
  <c r="AJ24" i="43" s="1"/>
  <c r="AG25" i="43"/>
  <c r="AH25" i="43" s="1"/>
  <c r="AI25" i="43" s="1"/>
  <c r="AJ25" i="43" s="1"/>
  <c r="AG26" i="43"/>
  <c r="AH26" i="43" s="1"/>
  <c r="AI26" i="43" s="1"/>
  <c r="AJ26" i="43" s="1"/>
  <c r="AG27" i="43"/>
  <c r="AH27" i="43" s="1"/>
  <c r="AI27" i="43" s="1"/>
  <c r="AJ27" i="43" s="1"/>
  <c r="AG28" i="43"/>
  <c r="AH28" i="43" s="1"/>
  <c r="AI28" i="43" s="1"/>
  <c r="AJ28" i="43" s="1"/>
  <c r="AG29" i="43"/>
  <c r="AH29" i="43" s="1"/>
  <c r="AI29" i="43" s="1"/>
  <c r="AJ29" i="43" s="1"/>
  <c r="AG30" i="43"/>
  <c r="AH30" i="43" s="1"/>
  <c r="AI30" i="43" s="1"/>
  <c r="AJ30" i="43" s="1"/>
  <c r="AG31" i="43"/>
  <c r="AH31" i="43" s="1"/>
  <c r="AI31" i="43" s="1"/>
  <c r="AJ31" i="43" s="1"/>
  <c r="AG32" i="43"/>
  <c r="AH32" i="43" s="1"/>
  <c r="AI32" i="43" s="1"/>
  <c r="AJ32" i="43" s="1"/>
  <c r="AG33" i="43"/>
  <c r="AH33" i="43" s="1"/>
  <c r="AI33" i="43" s="1"/>
  <c r="AJ33" i="43" s="1"/>
  <c r="AG34" i="43"/>
  <c r="AH34" i="43" s="1"/>
  <c r="AI34" i="43" s="1"/>
  <c r="AJ34" i="43" s="1"/>
  <c r="AG35" i="43"/>
  <c r="AH35" i="43" s="1"/>
  <c r="AI35" i="43" s="1"/>
  <c r="AJ35" i="43" s="1"/>
  <c r="AG36" i="43"/>
  <c r="AH36" i="43" s="1"/>
  <c r="AI36" i="43" s="1"/>
  <c r="AJ36" i="43" s="1"/>
  <c r="AG37" i="43"/>
  <c r="AH37" i="43" s="1"/>
  <c r="AI37" i="43" s="1"/>
  <c r="AJ37" i="43" s="1"/>
  <c r="AG38" i="43"/>
  <c r="AH38" i="43" s="1"/>
  <c r="AI38" i="43" s="1"/>
  <c r="AJ38" i="43" s="1"/>
  <c r="AG39" i="43"/>
  <c r="AH39" i="43" s="1"/>
  <c r="AI39" i="43" s="1"/>
  <c r="AJ39" i="43" s="1"/>
  <c r="AG40" i="43"/>
  <c r="AH40" i="43" s="1"/>
  <c r="AI40" i="43" s="1"/>
  <c r="AJ40" i="43" s="1"/>
  <c r="AG41" i="43"/>
  <c r="AH41" i="43" s="1"/>
  <c r="AI41" i="43" s="1"/>
  <c r="AJ41" i="43" s="1"/>
  <c r="AG42" i="43"/>
  <c r="AH42" i="43" s="1"/>
  <c r="AI42" i="43" s="1"/>
  <c r="AJ42" i="43" s="1"/>
  <c r="AG43" i="43"/>
  <c r="AH43" i="43" s="1"/>
  <c r="AI43" i="43" s="1"/>
  <c r="AJ43" i="43" s="1"/>
  <c r="AG44" i="43"/>
  <c r="AH44" i="43" s="1"/>
  <c r="AI44" i="43" s="1"/>
  <c r="AJ44" i="43" s="1"/>
  <c r="AG45" i="43"/>
  <c r="AH45" i="43" s="1"/>
  <c r="AI45" i="43" s="1"/>
  <c r="AJ45" i="43" s="1"/>
  <c r="AG46" i="43"/>
  <c r="AH46" i="43" s="1"/>
  <c r="AI46" i="43" s="1"/>
  <c r="AJ46" i="43" s="1"/>
  <c r="AG47" i="43"/>
  <c r="AH47" i="43" s="1"/>
  <c r="AI47" i="43" s="1"/>
  <c r="AJ47" i="43" s="1"/>
  <c r="AG48" i="43"/>
  <c r="AH48" i="43" s="1"/>
  <c r="AI48" i="43" s="1"/>
  <c r="AJ48" i="43" s="1"/>
  <c r="AG49" i="43"/>
  <c r="AH49" i="43" s="1"/>
  <c r="AI49" i="43" s="1"/>
  <c r="AJ49" i="43" s="1"/>
  <c r="AG50" i="43"/>
  <c r="AH50" i="43" s="1"/>
  <c r="AI50" i="43" s="1"/>
  <c r="AJ50" i="43" s="1"/>
  <c r="AG51" i="43"/>
  <c r="AH51" i="43" s="1"/>
  <c r="AI51" i="43" s="1"/>
  <c r="AJ51" i="43" s="1"/>
  <c r="AG52" i="43"/>
  <c r="AH52" i="43" s="1"/>
  <c r="AI52" i="43" s="1"/>
  <c r="AJ52" i="43" s="1"/>
  <c r="AG53" i="43"/>
  <c r="AH53" i="43" s="1"/>
  <c r="AI53" i="43" s="1"/>
  <c r="AJ53" i="43" s="1"/>
  <c r="AG54" i="43"/>
  <c r="AH54" i="43" s="1"/>
  <c r="AI54" i="43" s="1"/>
  <c r="AJ54" i="43" s="1"/>
  <c r="AG55" i="43"/>
  <c r="AH55" i="43" s="1"/>
  <c r="AI55" i="43" s="1"/>
  <c r="AJ55" i="43" s="1"/>
  <c r="AG56" i="43"/>
  <c r="AH56" i="43" s="1"/>
  <c r="AI56" i="43" s="1"/>
  <c r="AJ56" i="43" s="1"/>
  <c r="AG57" i="43"/>
  <c r="AH57" i="43" s="1"/>
  <c r="AI57" i="43" s="1"/>
  <c r="AJ57" i="43" s="1"/>
  <c r="AG58" i="43"/>
  <c r="AH58" i="43" s="1"/>
  <c r="AI58" i="43" s="1"/>
  <c r="AJ58" i="43" s="1"/>
  <c r="AG59" i="43"/>
  <c r="AH59" i="43" s="1"/>
  <c r="AI59" i="43" s="1"/>
  <c r="AJ59" i="43" s="1"/>
  <c r="AG60" i="43"/>
  <c r="AH60" i="43" s="1"/>
  <c r="AI60" i="43" s="1"/>
  <c r="AJ60" i="43" s="1"/>
  <c r="AG61" i="43"/>
  <c r="AH61" i="43" s="1"/>
  <c r="AI61" i="43" s="1"/>
  <c r="AJ61" i="43" s="1"/>
  <c r="AG62" i="43"/>
  <c r="AH62" i="43" s="1"/>
  <c r="AI62" i="43" s="1"/>
  <c r="AJ62" i="43" s="1"/>
  <c r="AG63" i="43"/>
  <c r="AH63" i="43" s="1"/>
  <c r="AI63" i="43" s="1"/>
  <c r="AJ63" i="43" s="1"/>
  <c r="AG64" i="43"/>
  <c r="AH64" i="43" s="1"/>
  <c r="AI64" i="43" s="1"/>
  <c r="AJ64" i="43" s="1"/>
  <c r="AG65" i="43"/>
  <c r="AH65" i="43" s="1"/>
  <c r="AI65" i="43" s="1"/>
  <c r="AJ65" i="43" s="1"/>
  <c r="AG66" i="43"/>
  <c r="AH66" i="43" s="1"/>
  <c r="AI66" i="43" s="1"/>
  <c r="AJ66" i="43" s="1"/>
  <c r="AG67" i="43"/>
  <c r="AH67" i="43" s="1"/>
  <c r="AI67" i="43" s="1"/>
  <c r="AJ67" i="43" s="1"/>
  <c r="AG68" i="43"/>
  <c r="AH68" i="43" s="1"/>
  <c r="AI68" i="43" s="1"/>
  <c r="AJ68" i="43" s="1"/>
  <c r="AG69" i="43"/>
  <c r="AH69" i="43" s="1"/>
  <c r="AI69" i="43" s="1"/>
  <c r="AJ69" i="43" s="1"/>
  <c r="AG70" i="43"/>
  <c r="AH70" i="43" s="1"/>
  <c r="AI70" i="43" s="1"/>
  <c r="AJ70" i="43" s="1"/>
  <c r="AG71" i="43"/>
  <c r="AH71" i="43" s="1"/>
  <c r="AI71" i="43" s="1"/>
  <c r="AJ71" i="43" s="1"/>
  <c r="AG72" i="43"/>
  <c r="AH72" i="43" s="1"/>
  <c r="AI72" i="43" s="1"/>
  <c r="AJ72" i="43" s="1"/>
  <c r="AG73" i="43"/>
  <c r="AH73" i="43" s="1"/>
  <c r="AI73" i="43" s="1"/>
  <c r="AJ73" i="43" s="1"/>
  <c r="AG74" i="43"/>
  <c r="AH74" i="43" s="1"/>
  <c r="AI74" i="43" s="1"/>
  <c r="AJ74" i="43" s="1"/>
  <c r="AG75" i="43"/>
  <c r="AH75" i="43" s="1"/>
  <c r="AI75" i="43" s="1"/>
  <c r="AJ75" i="43" s="1"/>
  <c r="AG76" i="43"/>
  <c r="AH76" i="43" s="1"/>
  <c r="AI76" i="43" s="1"/>
  <c r="AJ76" i="43" s="1"/>
  <c r="AG77" i="43"/>
  <c r="AH77" i="43" s="1"/>
  <c r="AI77" i="43" s="1"/>
  <c r="AJ77" i="43" s="1"/>
  <c r="AG78" i="43"/>
  <c r="AH78" i="43" s="1"/>
  <c r="AI78" i="43" s="1"/>
  <c r="AJ78" i="43" s="1"/>
  <c r="AG79" i="43"/>
  <c r="AH79" i="43" s="1"/>
  <c r="AI79" i="43" s="1"/>
  <c r="AJ79" i="43" s="1"/>
  <c r="AG80" i="43"/>
  <c r="AH80" i="43" s="1"/>
  <c r="AI80" i="43" s="1"/>
  <c r="AJ80" i="43" s="1"/>
  <c r="AG81" i="43"/>
  <c r="AH81" i="43" s="1"/>
  <c r="AI81" i="43" s="1"/>
  <c r="AJ81" i="43" s="1"/>
  <c r="AG82" i="43"/>
  <c r="AH82" i="43" s="1"/>
  <c r="AI82" i="43" s="1"/>
  <c r="AJ82" i="43" s="1"/>
  <c r="AG83" i="43"/>
  <c r="AH83" i="43" s="1"/>
  <c r="AI83" i="43" s="1"/>
  <c r="AJ83" i="43" s="1"/>
  <c r="AG84" i="43"/>
  <c r="AH84" i="43" s="1"/>
  <c r="AI84" i="43" s="1"/>
  <c r="AJ84" i="43" s="1"/>
  <c r="AG85" i="43"/>
  <c r="AH85" i="43" s="1"/>
  <c r="AI85" i="43" s="1"/>
  <c r="AJ85" i="43" s="1"/>
  <c r="AG86" i="43"/>
  <c r="AH86" i="43" s="1"/>
  <c r="AI86" i="43" s="1"/>
  <c r="AJ86" i="43" s="1"/>
  <c r="AG87" i="43"/>
  <c r="AH87" i="43" s="1"/>
  <c r="AI87" i="43" s="1"/>
  <c r="AJ87" i="43" s="1"/>
  <c r="AG88" i="43"/>
  <c r="AH88" i="43" s="1"/>
  <c r="AI88" i="43" s="1"/>
  <c r="AJ88" i="43" s="1"/>
  <c r="AG89" i="43"/>
  <c r="AH89" i="43" s="1"/>
  <c r="AI89" i="43" s="1"/>
  <c r="AJ89" i="43" s="1"/>
  <c r="AG90" i="43"/>
  <c r="AH90" i="43" s="1"/>
  <c r="AI90" i="43" s="1"/>
  <c r="AJ90" i="43" s="1"/>
  <c r="AG91" i="43"/>
  <c r="AH91" i="43" s="1"/>
  <c r="AI91" i="43" s="1"/>
  <c r="AJ91" i="43" s="1"/>
  <c r="AG92" i="43"/>
  <c r="AH92" i="43" s="1"/>
  <c r="AI92" i="43" s="1"/>
  <c r="AJ92" i="43" s="1"/>
  <c r="AG93" i="43"/>
  <c r="AH93" i="43" s="1"/>
  <c r="AI93" i="43" s="1"/>
  <c r="AJ93" i="43" s="1"/>
  <c r="AG94" i="43"/>
  <c r="AH94" i="43" s="1"/>
  <c r="AI94" i="43" s="1"/>
  <c r="AJ94" i="43" s="1"/>
  <c r="AG95" i="43"/>
  <c r="AH95" i="43" s="1"/>
  <c r="AI95" i="43" s="1"/>
  <c r="AJ95" i="43" s="1"/>
  <c r="AG96" i="43"/>
  <c r="AH96" i="43" s="1"/>
  <c r="AI96" i="43" s="1"/>
  <c r="AJ96" i="43" s="1"/>
  <c r="AG97" i="43"/>
  <c r="AH97" i="43" s="1"/>
  <c r="AI97" i="43" s="1"/>
  <c r="AJ97" i="43" s="1"/>
  <c r="AG98" i="43"/>
  <c r="AH98" i="43" s="1"/>
  <c r="AI98" i="43" s="1"/>
  <c r="AJ98" i="43" s="1"/>
  <c r="AG99" i="43"/>
  <c r="AH99" i="43" s="1"/>
  <c r="AI99" i="43" s="1"/>
  <c r="AJ99" i="43" s="1"/>
  <c r="AG100" i="43"/>
  <c r="AH100" i="43" s="1"/>
  <c r="AI100" i="43" s="1"/>
  <c r="AJ100" i="43" s="1"/>
  <c r="AG101" i="43"/>
  <c r="AH101" i="43" s="1"/>
  <c r="AI101" i="43" s="1"/>
  <c r="AJ101" i="43" s="1"/>
  <c r="AG102" i="43"/>
  <c r="AH102" i="43" s="1"/>
  <c r="AI102" i="43" s="1"/>
  <c r="AJ102" i="43" s="1"/>
  <c r="AG103" i="43"/>
  <c r="AH103" i="43" s="1"/>
  <c r="AI103" i="43" s="1"/>
  <c r="AJ103" i="43" s="1"/>
  <c r="AG104" i="43"/>
  <c r="AH104" i="43" s="1"/>
  <c r="AI104" i="43" s="1"/>
  <c r="AJ104" i="43" s="1"/>
  <c r="AG105" i="43"/>
  <c r="AH105" i="43" s="1"/>
  <c r="AI105" i="43" s="1"/>
  <c r="AJ105" i="43" s="1"/>
  <c r="AG106" i="43"/>
  <c r="AH106" i="43" s="1"/>
  <c r="AI106" i="43" s="1"/>
  <c r="AJ106" i="43" s="1"/>
  <c r="AG107" i="43"/>
  <c r="AH107" i="43" s="1"/>
  <c r="AI107" i="43" s="1"/>
  <c r="AJ107" i="43" s="1"/>
  <c r="AG108" i="43"/>
  <c r="AH108" i="43" s="1"/>
  <c r="AI108" i="43" s="1"/>
  <c r="AJ108" i="43" s="1"/>
  <c r="AG109" i="43"/>
  <c r="AH109" i="43" s="1"/>
  <c r="AI109" i="43" s="1"/>
  <c r="AJ109" i="43" s="1"/>
  <c r="AG110" i="43"/>
  <c r="AH110" i="43" s="1"/>
  <c r="AI110" i="43" s="1"/>
  <c r="AJ110" i="43" s="1"/>
  <c r="AG111" i="43"/>
  <c r="AH111" i="43" s="1"/>
  <c r="AI111" i="43" s="1"/>
  <c r="AJ111" i="43" s="1"/>
  <c r="AG112" i="43"/>
  <c r="AH112" i="43" s="1"/>
  <c r="AI112" i="43" s="1"/>
  <c r="AJ112" i="43" s="1"/>
  <c r="AG113" i="43"/>
  <c r="AH113" i="43" s="1"/>
  <c r="AI113" i="43" s="1"/>
  <c r="AJ113" i="43" s="1"/>
  <c r="AG114" i="43"/>
  <c r="AH114" i="43" s="1"/>
  <c r="AI114" i="43" s="1"/>
  <c r="AJ114" i="43" s="1"/>
  <c r="AG115" i="43"/>
  <c r="AH115" i="43" s="1"/>
  <c r="AI115" i="43" s="1"/>
  <c r="AJ115" i="43" s="1"/>
  <c r="AG116" i="43"/>
  <c r="AH116" i="43" s="1"/>
  <c r="AI116" i="43" s="1"/>
  <c r="AJ116" i="43" s="1"/>
  <c r="AG117" i="43"/>
  <c r="AH117" i="43" s="1"/>
  <c r="AI117" i="43" s="1"/>
  <c r="AJ117" i="43" s="1"/>
  <c r="AG118" i="43"/>
  <c r="AH118" i="43" s="1"/>
  <c r="AI118" i="43" s="1"/>
  <c r="AJ118" i="43" s="1"/>
  <c r="AG119" i="43"/>
  <c r="AH119" i="43" s="1"/>
  <c r="AI119" i="43" s="1"/>
  <c r="AJ119" i="43" s="1"/>
  <c r="AG120" i="43"/>
  <c r="AH120" i="43" s="1"/>
  <c r="AI120" i="43" s="1"/>
  <c r="AJ120" i="43" s="1"/>
  <c r="AG121" i="43"/>
  <c r="AH121" i="43" s="1"/>
  <c r="AI121" i="43" s="1"/>
  <c r="AJ121" i="43" s="1"/>
  <c r="AG122" i="43"/>
  <c r="AH122" i="43" s="1"/>
  <c r="AI122" i="43" s="1"/>
  <c r="AJ122" i="43" s="1"/>
  <c r="AG123" i="43"/>
  <c r="AH123" i="43" s="1"/>
  <c r="AI123" i="43" s="1"/>
  <c r="AJ123" i="43" s="1"/>
  <c r="AG124" i="43"/>
  <c r="AH124" i="43" s="1"/>
  <c r="AI124" i="43" s="1"/>
  <c r="AJ124" i="43" s="1"/>
  <c r="AG125" i="43"/>
  <c r="AH125" i="43" s="1"/>
  <c r="AI125" i="43" s="1"/>
  <c r="AJ125" i="43" s="1"/>
  <c r="AG126" i="43"/>
  <c r="AH126" i="43" s="1"/>
  <c r="AI126" i="43" s="1"/>
  <c r="AJ126" i="43" s="1"/>
  <c r="AG127" i="43"/>
  <c r="AH127" i="43" s="1"/>
  <c r="AI127" i="43" s="1"/>
  <c r="AJ127" i="43" s="1"/>
  <c r="AG128" i="43"/>
  <c r="AH128" i="43" s="1"/>
  <c r="AI128" i="43" s="1"/>
  <c r="AJ128" i="43" s="1"/>
  <c r="AG129" i="43"/>
  <c r="AH129" i="43" s="1"/>
  <c r="AI129" i="43" s="1"/>
  <c r="AJ129" i="43" s="1"/>
  <c r="AG130" i="43"/>
  <c r="AH130" i="43" s="1"/>
  <c r="AI130" i="43" s="1"/>
  <c r="AJ130" i="43" s="1"/>
  <c r="AG131" i="43"/>
  <c r="AH131" i="43" s="1"/>
  <c r="AI131" i="43" s="1"/>
  <c r="AJ131" i="43" s="1"/>
  <c r="AG132" i="43"/>
  <c r="AH132" i="43" s="1"/>
  <c r="AI132" i="43" s="1"/>
  <c r="AJ132" i="43" s="1"/>
  <c r="AG133" i="43"/>
  <c r="AH133" i="43" s="1"/>
  <c r="AI133" i="43" s="1"/>
  <c r="AJ133" i="43" s="1"/>
  <c r="AG134" i="43"/>
  <c r="AH134" i="43" s="1"/>
  <c r="AI134" i="43" s="1"/>
  <c r="AJ134" i="43" s="1"/>
  <c r="AG135" i="43"/>
  <c r="AH135" i="43" s="1"/>
  <c r="AI135" i="43" s="1"/>
  <c r="AJ135" i="43" s="1"/>
  <c r="AG136" i="43"/>
  <c r="AH136" i="43" s="1"/>
  <c r="AI136" i="43" s="1"/>
  <c r="AJ136" i="43" s="1"/>
  <c r="AG137" i="43"/>
  <c r="AH137" i="43" s="1"/>
  <c r="AI137" i="43" s="1"/>
  <c r="AJ137" i="43" s="1"/>
  <c r="AG138" i="43"/>
  <c r="AH138" i="43" s="1"/>
  <c r="AI138" i="43" s="1"/>
  <c r="AJ138" i="43" s="1"/>
  <c r="AG139" i="43"/>
  <c r="AH139" i="43" s="1"/>
  <c r="AI139" i="43" s="1"/>
  <c r="AJ139" i="43" s="1"/>
  <c r="AG17" i="43"/>
  <c r="AH17" i="43" s="1"/>
  <c r="AI17" i="43" s="1"/>
  <c r="AJ17" i="43" s="1"/>
  <c r="U19" i="43"/>
  <c r="V19" i="43" s="1"/>
  <c r="W19" i="43" s="1"/>
  <c r="X19" i="43" s="1"/>
  <c r="U23" i="43"/>
  <c r="V23" i="43" s="1"/>
  <c r="W23" i="43" s="1"/>
  <c r="X23" i="43" s="1"/>
  <c r="U25" i="43"/>
  <c r="V25" i="43" s="1"/>
  <c r="W25" i="43" s="1"/>
  <c r="X25" i="43" s="1"/>
  <c r="U29" i="43"/>
  <c r="V29" i="43" s="1"/>
  <c r="W29" i="43" s="1"/>
  <c r="X29" i="43" s="1"/>
  <c r="U31" i="43"/>
  <c r="V31" i="43" s="1"/>
  <c r="W31" i="43" s="1"/>
  <c r="X31" i="43" s="1"/>
  <c r="U35" i="43"/>
  <c r="V35" i="43" s="1"/>
  <c r="W35" i="43" s="1"/>
  <c r="X35" i="43" s="1"/>
  <c r="U39" i="43"/>
  <c r="V39" i="43" s="1"/>
  <c r="W39" i="43" s="1"/>
  <c r="X39" i="43" s="1"/>
  <c r="U41" i="43"/>
  <c r="V41" i="43" s="1"/>
  <c r="W41" i="43" s="1"/>
  <c r="X41" i="43" s="1"/>
  <c r="U43" i="43"/>
  <c r="V43" i="43" s="1"/>
  <c r="W43" i="43" s="1"/>
  <c r="X43" i="43" s="1"/>
  <c r="U45" i="43"/>
  <c r="V45" i="43" s="1"/>
  <c r="W45" i="43" s="1"/>
  <c r="X45" i="43" s="1"/>
  <c r="U52" i="43"/>
  <c r="V52" i="43" s="1"/>
  <c r="W52" i="43" s="1"/>
  <c r="X52" i="43" s="1"/>
  <c r="U57" i="43"/>
  <c r="V57" i="43" s="1"/>
  <c r="W57" i="43" s="1"/>
  <c r="X57" i="43" s="1"/>
  <c r="U64" i="43"/>
  <c r="V64" i="43" s="1"/>
  <c r="W64" i="43" s="1"/>
  <c r="X64" i="43" s="1"/>
  <c r="U68" i="43"/>
  <c r="V68" i="43" s="1"/>
  <c r="W68" i="43" s="1"/>
  <c r="X68" i="43" s="1"/>
  <c r="U73" i="43"/>
  <c r="V73" i="43" s="1"/>
  <c r="W73" i="43" s="1"/>
  <c r="X73" i="43" s="1"/>
  <c r="U75" i="43"/>
  <c r="V75" i="43" s="1"/>
  <c r="W75" i="43" s="1"/>
  <c r="X75" i="43" s="1"/>
  <c r="U76" i="43"/>
  <c r="V76" i="43" s="1"/>
  <c r="W76" i="43" s="1"/>
  <c r="X76" i="43" s="1"/>
  <c r="U78" i="43"/>
  <c r="V78" i="43" s="1"/>
  <c r="W78" i="43" s="1"/>
  <c r="X78" i="43" s="1"/>
  <c r="U79" i="43"/>
  <c r="V79" i="43" s="1"/>
  <c r="W79" i="43" s="1"/>
  <c r="X79" i="43" s="1"/>
  <c r="U80" i="43"/>
  <c r="V80" i="43" s="1"/>
  <c r="W80" i="43" s="1"/>
  <c r="X80" i="43" s="1"/>
  <c r="U81" i="43"/>
  <c r="V81" i="43" s="1"/>
  <c r="W81" i="43" s="1"/>
  <c r="X81" i="43" s="1"/>
  <c r="U89" i="43"/>
  <c r="V89" i="43" s="1"/>
  <c r="W89" i="43" s="1"/>
  <c r="X89" i="43" s="1"/>
  <c r="U90" i="43"/>
  <c r="V90" i="43" s="1"/>
  <c r="W90" i="43" s="1"/>
  <c r="X90" i="43" s="1"/>
  <c r="U92" i="43"/>
  <c r="V92" i="43" s="1"/>
  <c r="W92" i="43" s="1"/>
  <c r="X92" i="43" s="1"/>
  <c r="U95" i="43"/>
  <c r="V95" i="43" s="1"/>
  <c r="W95" i="43" s="1"/>
  <c r="X95" i="43" s="1"/>
  <c r="U97" i="43"/>
  <c r="V97" i="43" s="1"/>
  <c r="W97" i="43" s="1"/>
  <c r="X97" i="43" s="1"/>
  <c r="U109" i="43"/>
  <c r="V109" i="43" s="1"/>
  <c r="W109" i="43" s="1"/>
  <c r="X109" i="43" s="1"/>
  <c r="U113" i="43"/>
  <c r="V113" i="43" s="1"/>
  <c r="W113" i="43" s="1"/>
  <c r="X113" i="43" s="1"/>
  <c r="U125" i="43"/>
  <c r="V125" i="43" s="1"/>
  <c r="W125" i="43" s="1"/>
  <c r="X125" i="43" s="1"/>
  <c r="D48" i="13"/>
  <c r="D80" i="13" s="1"/>
  <c r="D112" i="13" s="1"/>
  <c r="D144" i="13" s="1"/>
  <c r="D176" i="13" s="1"/>
  <c r="D208" i="13" s="1"/>
  <c r="F48" i="13"/>
  <c r="F80" i="13" s="1"/>
  <c r="F112" i="13" s="1"/>
  <c r="F144" i="13" s="1"/>
  <c r="F176" i="13" s="1"/>
  <c r="F208" i="13" s="1"/>
  <c r="H48" i="13"/>
  <c r="H80" i="13" s="1"/>
  <c r="H112" i="13" s="1"/>
  <c r="H144" i="13" s="1"/>
  <c r="H176" i="13" s="1"/>
  <c r="H208" i="13" s="1"/>
  <c r="I48" i="13"/>
  <c r="AB48" i="13" s="1"/>
  <c r="D49" i="13"/>
  <c r="D81" i="13" s="1"/>
  <c r="D113" i="13" s="1"/>
  <c r="D145" i="13" s="1"/>
  <c r="D177" i="13" s="1"/>
  <c r="D209" i="13" s="1"/>
  <c r="F49" i="13"/>
  <c r="F81" i="13" s="1"/>
  <c r="F113" i="13" s="1"/>
  <c r="F145" i="13" s="1"/>
  <c r="F177" i="13" s="1"/>
  <c r="F209" i="13" s="1"/>
  <c r="H49" i="13"/>
  <c r="H81" i="13" s="1"/>
  <c r="H113" i="13" s="1"/>
  <c r="H145" i="13" s="1"/>
  <c r="H177" i="13" s="1"/>
  <c r="H209" i="13" s="1"/>
  <c r="D50" i="13"/>
  <c r="D82" i="13" s="1"/>
  <c r="D114" i="13" s="1"/>
  <c r="D146" i="13" s="1"/>
  <c r="D178" i="13" s="1"/>
  <c r="D210" i="13" s="1"/>
  <c r="F50" i="13"/>
  <c r="F82" i="13" s="1"/>
  <c r="F114" i="13" s="1"/>
  <c r="F146" i="13" s="1"/>
  <c r="F178" i="13" s="1"/>
  <c r="F210" i="13" s="1"/>
  <c r="H50" i="13"/>
  <c r="H82" i="13" s="1"/>
  <c r="H114" i="13" s="1"/>
  <c r="H146" i="13" s="1"/>
  <c r="H178" i="13" s="1"/>
  <c r="H210" i="13" s="1"/>
  <c r="D51" i="13"/>
  <c r="D83" i="13" s="1"/>
  <c r="D115" i="13" s="1"/>
  <c r="D147" i="13" s="1"/>
  <c r="D179" i="13" s="1"/>
  <c r="D211" i="13" s="1"/>
  <c r="F51" i="13"/>
  <c r="F83" i="13" s="1"/>
  <c r="F115" i="13" s="1"/>
  <c r="F147" i="13" s="1"/>
  <c r="F179" i="13" s="1"/>
  <c r="F211" i="13" s="1"/>
  <c r="H51" i="13"/>
  <c r="H83" i="13" s="1"/>
  <c r="H115" i="13" s="1"/>
  <c r="H147" i="13" s="1"/>
  <c r="H179" i="13" s="1"/>
  <c r="H211" i="13" s="1"/>
  <c r="D52" i="13"/>
  <c r="D84" i="13" s="1"/>
  <c r="D116" i="13" s="1"/>
  <c r="D148" i="13" s="1"/>
  <c r="D180" i="13" s="1"/>
  <c r="D212" i="13" s="1"/>
  <c r="F52" i="13"/>
  <c r="F84" i="13" s="1"/>
  <c r="F116" i="13" s="1"/>
  <c r="F148" i="13" s="1"/>
  <c r="F180" i="13" s="1"/>
  <c r="F212" i="13" s="1"/>
  <c r="H52" i="13"/>
  <c r="H84" i="13" s="1"/>
  <c r="H116" i="13" s="1"/>
  <c r="H148" i="13" s="1"/>
  <c r="H180" i="13" s="1"/>
  <c r="H212" i="13" s="1"/>
  <c r="D53" i="13"/>
  <c r="D85" i="13" s="1"/>
  <c r="D117" i="13" s="1"/>
  <c r="F53" i="13"/>
  <c r="F85" i="13" s="1"/>
  <c r="F117" i="13" s="1"/>
  <c r="F149" i="13" s="1"/>
  <c r="F181" i="13" s="1"/>
  <c r="F213" i="13" s="1"/>
  <c r="H53" i="13"/>
  <c r="H85" i="13" s="1"/>
  <c r="H117" i="13" s="1"/>
  <c r="H149" i="13" s="1"/>
  <c r="H181" i="13" s="1"/>
  <c r="H213" i="13" s="1"/>
  <c r="D54" i="13"/>
  <c r="D86" i="13" s="1"/>
  <c r="D118" i="13" s="1"/>
  <c r="D150" i="13" s="1"/>
  <c r="D182" i="13" s="1"/>
  <c r="D214" i="13" s="1"/>
  <c r="F54" i="13"/>
  <c r="F86" i="13" s="1"/>
  <c r="F118" i="13" s="1"/>
  <c r="F150" i="13" s="1"/>
  <c r="F182" i="13" s="1"/>
  <c r="F214" i="13" s="1"/>
  <c r="H54" i="13"/>
  <c r="H86" i="13" s="1"/>
  <c r="H118" i="13" s="1"/>
  <c r="H150" i="13" s="1"/>
  <c r="H182" i="13" s="1"/>
  <c r="H214" i="13" s="1"/>
  <c r="D55" i="13"/>
  <c r="D87" i="13" s="1"/>
  <c r="D119" i="13" s="1"/>
  <c r="D151" i="13" s="1"/>
  <c r="D183" i="13" s="1"/>
  <c r="D215" i="13" s="1"/>
  <c r="F55" i="13"/>
  <c r="F87" i="13" s="1"/>
  <c r="F119" i="13" s="1"/>
  <c r="F151" i="13" s="1"/>
  <c r="F183" i="13" s="1"/>
  <c r="F215" i="13" s="1"/>
  <c r="H55" i="13"/>
  <c r="H87" i="13" s="1"/>
  <c r="H119" i="13" s="1"/>
  <c r="H151" i="13" s="1"/>
  <c r="H183" i="13" s="1"/>
  <c r="H215" i="13" s="1"/>
  <c r="D56" i="13"/>
  <c r="D88" i="13" s="1"/>
  <c r="D120" i="13" s="1"/>
  <c r="D152" i="13" s="1"/>
  <c r="D184" i="13" s="1"/>
  <c r="D216" i="13" s="1"/>
  <c r="F56" i="13"/>
  <c r="F88" i="13" s="1"/>
  <c r="F120" i="13" s="1"/>
  <c r="F152" i="13" s="1"/>
  <c r="F184" i="13" s="1"/>
  <c r="F216" i="13" s="1"/>
  <c r="AK24" i="13"/>
  <c r="AL24" i="13" s="1"/>
  <c r="H56" i="13"/>
  <c r="H88" i="13" s="1"/>
  <c r="H120" i="13" s="1"/>
  <c r="H152" i="13" s="1"/>
  <c r="H184" i="13" s="1"/>
  <c r="H216" i="13" s="1"/>
  <c r="D57" i="13"/>
  <c r="D89" i="13" s="1"/>
  <c r="D121" i="13" s="1"/>
  <c r="D153" i="13" s="1"/>
  <c r="D185" i="13" s="1"/>
  <c r="D217" i="13" s="1"/>
  <c r="F57" i="13"/>
  <c r="F89" i="13" s="1"/>
  <c r="F121" i="13" s="1"/>
  <c r="F153" i="13" s="1"/>
  <c r="F185" i="13" s="1"/>
  <c r="F217" i="13" s="1"/>
  <c r="H57" i="13"/>
  <c r="H89" i="13" s="1"/>
  <c r="H121" i="13" s="1"/>
  <c r="H153" i="13" s="1"/>
  <c r="H185" i="13" s="1"/>
  <c r="H217" i="13" s="1"/>
  <c r="D58" i="13"/>
  <c r="D90" i="13" s="1"/>
  <c r="D122" i="13" s="1"/>
  <c r="D154" i="13" s="1"/>
  <c r="D186" i="13" s="1"/>
  <c r="D218" i="13" s="1"/>
  <c r="F58" i="13"/>
  <c r="F90" i="13" s="1"/>
  <c r="F122" i="13" s="1"/>
  <c r="F154" i="13" s="1"/>
  <c r="F186" i="13" s="1"/>
  <c r="F218" i="13" s="1"/>
  <c r="H58" i="13"/>
  <c r="H90" i="13" s="1"/>
  <c r="H122" i="13" s="1"/>
  <c r="H154" i="13" s="1"/>
  <c r="H186" i="13" s="1"/>
  <c r="H218" i="13" s="1"/>
  <c r="D59" i="13"/>
  <c r="D91" i="13" s="1"/>
  <c r="D123" i="13" s="1"/>
  <c r="D155" i="13" s="1"/>
  <c r="D187" i="13" s="1"/>
  <c r="D219" i="13" s="1"/>
  <c r="F59" i="13"/>
  <c r="F91" i="13" s="1"/>
  <c r="F123" i="13" s="1"/>
  <c r="F155" i="13" s="1"/>
  <c r="F187" i="13" s="1"/>
  <c r="F219" i="13" s="1"/>
  <c r="H59" i="13"/>
  <c r="H91" i="13" s="1"/>
  <c r="H123" i="13" s="1"/>
  <c r="H155" i="13" s="1"/>
  <c r="H187" i="13" s="1"/>
  <c r="H219" i="13" s="1"/>
  <c r="D60" i="13"/>
  <c r="D92" i="13" s="1"/>
  <c r="D124" i="13" s="1"/>
  <c r="D156" i="13" s="1"/>
  <c r="D188" i="13" s="1"/>
  <c r="D220" i="13" s="1"/>
  <c r="F60" i="13"/>
  <c r="F92" i="13" s="1"/>
  <c r="F124" i="13" s="1"/>
  <c r="F156" i="13" s="1"/>
  <c r="F188" i="13" s="1"/>
  <c r="F220" i="13" s="1"/>
  <c r="H60" i="13"/>
  <c r="H92" i="13" s="1"/>
  <c r="H124" i="13" s="1"/>
  <c r="H156" i="13" s="1"/>
  <c r="H188" i="13" s="1"/>
  <c r="H220" i="13" s="1"/>
  <c r="D61" i="13"/>
  <c r="D93" i="13" s="1"/>
  <c r="D125" i="13" s="1"/>
  <c r="D157" i="13" s="1"/>
  <c r="D189" i="13" s="1"/>
  <c r="D221" i="13" s="1"/>
  <c r="F61" i="13"/>
  <c r="F93" i="13" s="1"/>
  <c r="F125" i="13" s="1"/>
  <c r="F157" i="13" s="1"/>
  <c r="F189" i="13" s="1"/>
  <c r="F221" i="13" s="1"/>
  <c r="H61" i="13"/>
  <c r="H93" i="13" s="1"/>
  <c r="H125" i="13" s="1"/>
  <c r="H157" i="13" s="1"/>
  <c r="H189" i="13" s="1"/>
  <c r="H221" i="13" s="1"/>
  <c r="D62" i="13"/>
  <c r="D94" i="13" s="1"/>
  <c r="D126" i="13" s="1"/>
  <c r="D158" i="13" s="1"/>
  <c r="D190" i="13" s="1"/>
  <c r="D222" i="13" s="1"/>
  <c r="F62" i="13"/>
  <c r="F94" i="13" s="1"/>
  <c r="F126" i="13" s="1"/>
  <c r="F158" i="13" s="1"/>
  <c r="F190" i="13" s="1"/>
  <c r="F222" i="13" s="1"/>
  <c r="AK30" i="13"/>
  <c r="AL30" i="13" s="1"/>
  <c r="H62" i="13"/>
  <c r="H94" i="13" s="1"/>
  <c r="H126" i="13" s="1"/>
  <c r="H158" i="13" s="1"/>
  <c r="H190" i="13" s="1"/>
  <c r="H222" i="13" s="1"/>
  <c r="D63" i="13"/>
  <c r="D95" i="13" s="1"/>
  <c r="D127" i="13" s="1"/>
  <c r="D159" i="13" s="1"/>
  <c r="D191" i="13" s="1"/>
  <c r="D223" i="13" s="1"/>
  <c r="F63" i="13"/>
  <c r="F95" i="13" s="1"/>
  <c r="F127" i="13" s="1"/>
  <c r="F159" i="13" s="1"/>
  <c r="F191" i="13" s="1"/>
  <c r="F223" i="13" s="1"/>
  <c r="H63" i="13"/>
  <c r="H95" i="13" s="1"/>
  <c r="H127" i="13" s="1"/>
  <c r="H159" i="13" s="1"/>
  <c r="H191" i="13" s="1"/>
  <c r="H223" i="13" s="1"/>
  <c r="D64" i="13"/>
  <c r="D96" i="13" s="1"/>
  <c r="D128" i="13" s="1"/>
  <c r="D160" i="13" s="1"/>
  <c r="D192" i="13" s="1"/>
  <c r="D224" i="13" s="1"/>
  <c r="F64" i="13"/>
  <c r="F96" i="13" s="1"/>
  <c r="F128" i="13" s="1"/>
  <c r="F160" i="13" s="1"/>
  <c r="F192" i="13" s="1"/>
  <c r="F224" i="13" s="1"/>
  <c r="H64" i="13"/>
  <c r="H96" i="13" s="1"/>
  <c r="H128" i="13" s="1"/>
  <c r="H160" i="13" s="1"/>
  <c r="H192" i="13" s="1"/>
  <c r="H224" i="13" s="1"/>
  <c r="D65" i="13"/>
  <c r="D97" i="13" s="1"/>
  <c r="D129" i="13" s="1"/>
  <c r="D161" i="13" s="1"/>
  <c r="D193" i="13" s="1"/>
  <c r="D225" i="13" s="1"/>
  <c r="F65" i="13"/>
  <c r="F97" i="13" s="1"/>
  <c r="F129" i="13" s="1"/>
  <c r="F161" i="13" s="1"/>
  <c r="F193" i="13" s="1"/>
  <c r="F225" i="13" s="1"/>
  <c r="H65" i="13"/>
  <c r="H97" i="13" s="1"/>
  <c r="H129" i="13" s="1"/>
  <c r="H161" i="13" s="1"/>
  <c r="H193" i="13" s="1"/>
  <c r="H225" i="13" s="1"/>
  <c r="D66" i="13"/>
  <c r="D98" i="13" s="1"/>
  <c r="D130" i="13" s="1"/>
  <c r="D162" i="13" s="1"/>
  <c r="D194" i="13" s="1"/>
  <c r="D226" i="13" s="1"/>
  <c r="F66" i="13"/>
  <c r="F98" i="13" s="1"/>
  <c r="H66" i="13"/>
  <c r="H98" i="13" s="1"/>
  <c r="H130" i="13" s="1"/>
  <c r="H162" i="13" s="1"/>
  <c r="H194" i="13" s="1"/>
  <c r="H226" i="13" s="1"/>
  <c r="H47" i="13"/>
  <c r="H79" i="13" s="1"/>
  <c r="H111" i="13" s="1"/>
  <c r="H143" i="13" s="1"/>
  <c r="H175" i="13" s="1"/>
  <c r="H207" i="13" s="1"/>
  <c r="AK15" i="13"/>
  <c r="F47" i="13"/>
  <c r="F79" i="13" s="1"/>
  <c r="F111" i="13" s="1"/>
  <c r="F143" i="13" s="1"/>
  <c r="F175" i="13" s="1"/>
  <c r="F207" i="13" s="1"/>
  <c r="D47" i="13"/>
  <c r="D79" i="13" s="1"/>
  <c r="D111" i="13" s="1"/>
  <c r="D143" i="13" s="1"/>
  <c r="D175" i="13" s="1"/>
  <c r="D207" i="13" s="1"/>
  <c r="E51" i="13"/>
  <c r="J51" i="13" s="1"/>
  <c r="I64" i="13"/>
  <c r="AB64" i="13" s="1"/>
  <c r="I55" i="13"/>
  <c r="AB55" i="13" s="1"/>
  <c r="I53" i="13"/>
  <c r="AB53" i="13" s="1"/>
  <c r="I48" i="39"/>
  <c r="J48" i="39" s="1"/>
  <c r="K48" i="39" s="1"/>
  <c r="L48" i="39" s="1"/>
  <c r="M48" i="39" s="1"/>
  <c r="I49" i="39"/>
  <c r="J49" i="39" s="1"/>
  <c r="K49" i="39" s="1"/>
  <c r="L49" i="39" s="1"/>
  <c r="M49" i="39" s="1"/>
  <c r="I50" i="39"/>
  <c r="J50" i="39" s="1"/>
  <c r="K50" i="39" s="1"/>
  <c r="L50" i="39" s="1"/>
  <c r="M50" i="39" s="1"/>
  <c r="I51" i="39"/>
  <c r="J51" i="39" s="1"/>
  <c r="K51" i="39" s="1"/>
  <c r="L51" i="39" s="1"/>
  <c r="M51" i="39" s="1"/>
  <c r="I52" i="39"/>
  <c r="J52" i="39" s="1"/>
  <c r="K52" i="39" s="1"/>
  <c r="L52" i="39" s="1"/>
  <c r="M52" i="39" s="1"/>
  <c r="I53" i="39"/>
  <c r="J53" i="39" s="1"/>
  <c r="K53" i="39" s="1"/>
  <c r="L53" i="39" s="1"/>
  <c r="M53" i="39" s="1"/>
  <c r="I44" i="39"/>
  <c r="J44" i="39" s="1"/>
  <c r="K44" i="39" s="1"/>
  <c r="L44" i="39" s="1"/>
  <c r="M44" i="39" s="1"/>
  <c r="I40" i="39"/>
  <c r="J40" i="39" s="1"/>
  <c r="K40" i="39" s="1"/>
  <c r="L40" i="39" s="1"/>
  <c r="M40" i="39" s="1"/>
  <c r="K149" i="35"/>
  <c r="L149" i="35" s="1"/>
  <c r="M149" i="35" s="1"/>
  <c r="N149" i="35" s="1"/>
  <c r="O149" i="35" s="1"/>
  <c r="K150" i="35"/>
  <c r="L150" i="35" s="1"/>
  <c r="M150" i="35" s="1"/>
  <c r="N150" i="35" s="1"/>
  <c r="O150" i="35" s="1"/>
  <c r="K61" i="35"/>
  <c r="L61" i="35" s="1"/>
  <c r="M61" i="35" s="1"/>
  <c r="N61" i="35" s="1"/>
  <c r="O61" i="35" s="1"/>
  <c r="K62" i="35"/>
  <c r="L62" i="35" s="1"/>
  <c r="M62" i="35" s="1"/>
  <c r="N62" i="35" s="1"/>
  <c r="O62" i="35" s="1"/>
  <c r="K60" i="35"/>
  <c r="L60" i="35" s="1"/>
  <c r="K54" i="35"/>
  <c r="L54" i="35" s="1"/>
  <c r="M54" i="35" s="1"/>
  <c r="N54" i="35" s="1"/>
  <c r="O54" i="35" s="1"/>
  <c r="K53" i="35"/>
  <c r="L53" i="35" s="1"/>
  <c r="M53" i="35" s="1"/>
  <c r="N53" i="35" s="1"/>
  <c r="O53" i="35" s="1"/>
  <c r="K40" i="35"/>
  <c r="L40" i="35" s="1"/>
  <c r="M40" i="35" s="1"/>
  <c r="N40" i="35" s="1"/>
  <c r="O40" i="35" s="1"/>
  <c r="K41" i="35"/>
  <c r="L41" i="35" s="1"/>
  <c r="M41" i="35" s="1"/>
  <c r="N41" i="35" s="1"/>
  <c r="O41" i="35" s="1"/>
  <c r="K42" i="35"/>
  <c r="L42" i="35" s="1"/>
  <c r="M42" i="35" s="1"/>
  <c r="N42" i="35" s="1"/>
  <c r="O42" i="35" s="1"/>
  <c r="K39" i="35"/>
  <c r="L39" i="35" s="1"/>
  <c r="M39" i="35" s="1"/>
  <c r="N39" i="35" s="1"/>
  <c r="O39" i="35" s="1"/>
  <c r="K23" i="35"/>
  <c r="L23" i="35" s="1"/>
  <c r="M23" i="35" s="1"/>
  <c r="N23" i="35" s="1"/>
  <c r="O23" i="35" s="1"/>
  <c r="K24" i="35"/>
  <c r="L24" i="35" s="1"/>
  <c r="M24" i="35" s="1"/>
  <c r="N24" i="35" s="1"/>
  <c r="O24" i="35" s="1"/>
  <c r="K25" i="35"/>
  <c r="L25" i="35" s="1"/>
  <c r="M25" i="35" s="1"/>
  <c r="N25" i="35" s="1"/>
  <c r="O25" i="35" s="1"/>
  <c r="K22" i="35"/>
  <c r="L84" i="35"/>
  <c r="I20" i="38" s="1"/>
  <c r="K85" i="35"/>
  <c r="L85" i="35" s="1"/>
  <c r="M85" i="35" s="1"/>
  <c r="N85" i="35" s="1"/>
  <c r="O85" i="35" s="1"/>
  <c r="K86" i="35"/>
  <c r="L86" i="35" s="1"/>
  <c r="M86" i="35" s="1"/>
  <c r="N86" i="35" s="1"/>
  <c r="O86" i="35" s="1"/>
  <c r="K87" i="35"/>
  <c r="L87" i="35" s="1"/>
  <c r="M87" i="35" s="1"/>
  <c r="N87" i="35" s="1"/>
  <c r="O87" i="35" s="1"/>
  <c r="K88" i="35"/>
  <c r="L88" i="35" s="1"/>
  <c r="M88" i="35" s="1"/>
  <c r="N88" i="35" s="1"/>
  <c r="O88" i="35" s="1"/>
  <c r="I38" i="39"/>
  <c r="J38" i="39" s="1"/>
  <c r="K38" i="39" s="1"/>
  <c r="L38" i="39" s="1"/>
  <c r="M38" i="39" s="1"/>
  <c r="I34" i="39"/>
  <c r="J34" i="39" s="1"/>
  <c r="K34" i="39" s="1"/>
  <c r="L34" i="39" s="1"/>
  <c r="M34" i="39" s="1"/>
  <c r="I35" i="39"/>
  <c r="J35" i="39" s="1"/>
  <c r="K35" i="39" s="1"/>
  <c r="L35" i="39" s="1"/>
  <c r="M35" i="39" s="1"/>
  <c r="K55" i="35"/>
  <c r="G52" i="29"/>
  <c r="D55" i="29" s="1"/>
  <c r="H97" i="29"/>
  <c r="P97" i="29" s="1"/>
  <c r="N110" i="35"/>
  <c r="O110" i="35"/>
  <c r="L39" i="24"/>
  <c r="M39" i="24"/>
  <c r="F147" i="24"/>
  <c r="F148" i="24"/>
  <c r="F146" i="24"/>
  <c r="F144" i="24"/>
  <c r="F145" i="24"/>
  <c r="F143" i="24"/>
  <c r="F141" i="24"/>
  <c r="F142" i="24"/>
  <c r="F140" i="24"/>
  <c r="F138" i="24"/>
  <c r="F139" i="24"/>
  <c r="F137" i="24"/>
  <c r="F135" i="24"/>
  <c r="F136" i="24"/>
  <c r="F134" i="24"/>
  <c r="D146" i="24"/>
  <c r="D262" i="24" s="1"/>
  <c r="D143" i="24"/>
  <c r="D259" i="24" s="1"/>
  <c r="D140" i="24"/>
  <c r="D256" i="24" s="1"/>
  <c r="D137" i="24"/>
  <c r="D253" i="24" s="1"/>
  <c r="D134" i="24"/>
  <c r="D250" i="24" s="1"/>
  <c r="F47" i="24"/>
  <c r="F48" i="24"/>
  <c r="F49" i="24"/>
  <c r="F50" i="24"/>
  <c r="F51" i="24"/>
  <c r="F52" i="24"/>
  <c r="F53" i="24"/>
  <c r="F54" i="24"/>
  <c r="F55" i="24"/>
  <c r="F56" i="24"/>
  <c r="F172" i="24" s="1"/>
  <c r="F57" i="24"/>
  <c r="F58" i="24"/>
  <c r="F59" i="24"/>
  <c r="F60" i="24"/>
  <c r="F61" i="24"/>
  <c r="F62" i="24"/>
  <c r="F63" i="24"/>
  <c r="F64" i="24"/>
  <c r="F65" i="24"/>
  <c r="F66" i="24"/>
  <c r="F67" i="24"/>
  <c r="F68" i="24"/>
  <c r="F69" i="24"/>
  <c r="F70" i="24"/>
  <c r="F71" i="24"/>
  <c r="F72" i="24"/>
  <c r="F73" i="24"/>
  <c r="F74" i="24"/>
  <c r="F75" i="24"/>
  <c r="F76" i="24"/>
  <c r="F77" i="24"/>
  <c r="F78" i="24"/>
  <c r="F79" i="24"/>
  <c r="F80" i="24"/>
  <c r="F81" i="24"/>
  <c r="F82" i="24"/>
  <c r="F83" i="24"/>
  <c r="F84" i="24"/>
  <c r="F85" i="24"/>
  <c r="F86" i="24"/>
  <c r="F87" i="24"/>
  <c r="F88" i="24"/>
  <c r="F89" i="24"/>
  <c r="F90" i="24"/>
  <c r="F91" i="24"/>
  <c r="F92" i="24"/>
  <c r="F93" i="24"/>
  <c r="F94" i="24"/>
  <c r="F95" i="24"/>
  <c r="F96" i="24"/>
  <c r="F97" i="24"/>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I45" i="18"/>
  <c r="I43" i="18"/>
  <c r="J43" i="18" s="1"/>
  <c r="K43" i="18" s="1"/>
  <c r="L43" i="18" s="1"/>
  <c r="M43" i="18" s="1"/>
  <c r="N43" i="18" s="1"/>
  <c r="I44" i="18"/>
  <c r="J44" i="18" s="1"/>
  <c r="K44" i="18" s="1"/>
  <c r="L44" i="18" s="1"/>
  <c r="M44" i="18" s="1"/>
  <c r="N44" i="18" s="1"/>
  <c r="I46" i="18"/>
  <c r="J46" i="18" s="1"/>
  <c r="D172" i="35"/>
  <c r="D173" i="35"/>
  <c r="D174" i="35"/>
  <c r="D175" i="35"/>
  <c r="D176" i="35"/>
  <c r="D177" i="35"/>
  <c r="D178" i="35"/>
  <c r="D179" i="35"/>
  <c r="D180" i="35"/>
  <c r="D171" i="35"/>
  <c r="I127" i="18"/>
  <c r="I128" i="18"/>
  <c r="J128" i="18" s="1"/>
  <c r="K128" i="18" s="1"/>
  <c r="L128" i="18" s="1"/>
  <c r="M128" i="18" s="1"/>
  <c r="N128" i="18" s="1"/>
  <c r="I129" i="18"/>
  <c r="J129" i="18" s="1"/>
  <c r="I130" i="18"/>
  <c r="J130" i="18" s="1"/>
  <c r="K130" i="18" s="1"/>
  <c r="L130" i="18" s="1"/>
  <c r="M130" i="18" s="1"/>
  <c r="N130" i="18" s="1"/>
  <c r="I131" i="18"/>
  <c r="J131" i="18" s="1"/>
  <c r="K131" i="18" s="1"/>
  <c r="L131" i="18" s="1"/>
  <c r="M131" i="18" s="1"/>
  <c r="N131" i="18" s="1"/>
  <c r="I133" i="18"/>
  <c r="J133" i="18" s="1"/>
  <c r="K133" i="18" s="1"/>
  <c r="L133" i="18" s="1"/>
  <c r="M133" i="18" s="1"/>
  <c r="N133" i="18" s="1"/>
  <c r="I134" i="18"/>
  <c r="J134" i="18" s="1"/>
  <c r="K134" i="18" s="1"/>
  <c r="L134" i="18" s="1"/>
  <c r="M134" i="18" s="1"/>
  <c r="N134" i="18" s="1"/>
  <c r="I135" i="18"/>
  <c r="J135" i="18" s="1"/>
  <c r="K135" i="18" s="1"/>
  <c r="L135" i="18" s="1"/>
  <c r="M135" i="18" s="1"/>
  <c r="N135" i="18" s="1"/>
  <c r="I136" i="18"/>
  <c r="I146" i="18"/>
  <c r="K146" i="18" s="1"/>
  <c r="I149" i="18"/>
  <c r="J149" i="18" s="1"/>
  <c r="K149" i="18" s="1"/>
  <c r="L149" i="18" s="1"/>
  <c r="M149" i="18" s="1"/>
  <c r="N149" i="18" s="1"/>
  <c r="I150" i="18"/>
  <c r="J150" i="18" s="1"/>
  <c r="K150" i="18" s="1"/>
  <c r="L150" i="18" s="1"/>
  <c r="M150" i="18" s="1"/>
  <c r="N150" i="18" s="1"/>
  <c r="I155" i="18"/>
  <c r="J155" i="18" s="1"/>
  <c r="K155" i="18" s="1"/>
  <c r="L155" i="18" s="1"/>
  <c r="M155" i="18" s="1"/>
  <c r="N155" i="18" s="1"/>
  <c r="I156" i="18"/>
  <c r="J156" i="18" s="1"/>
  <c r="K156" i="18" s="1"/>
  <c r="L156" i="18" s="1"/>
  <c r="M156" i="18" s="1"/>
  <c r="N156" i="18" s="1"/>
  <c r="I157" i="18"/>
  <c r="J157" i="18" s="1"/>
  <c r="K157" i="18" s="1"/>
  <c r="L157" i="18" s="1"/>
  <c r="M157" i="18" s="1"/>
  <c r="N157" i="18" s="1"/>
  <c r="K126" i="35"/>
  <c r="L126" i="35" s="1"/>
  <c r="M126" i="35" s="1"/>
  <c r="N126" i="35" s="1"/>
  <c r="O126" i="35" s="1"/>
  <c r="K128" i="35"/>
  <c r="L128" i="35" s="1"/>
  <c r="M128" i="35" s="1"/>
  <c r="N128" i="35" s="1"/>
  <c r="O128" i="35" s="1"/>
  <c r="K159" i="35"/>
  <c r="L159" i="35" s="1"/>
  <c r="M159" i="35" s="1"/>
  <c r="N159" i="35" s="1"/>
  <c r="O159" i="35" s="1"/>
  <c r="K160" i="35"/>
  <c r="L160" i="35" s="1"/>
  <c r="M160" i="35" s="1"/>
  <c r="N160" i="35" s="1"/>
  <c r="O160" i="35" s="1"/>
  <c r="K161" i="35"/>
  <c r="L161" i="35" s="1"/>
  <c r="M161" i="35" s="1"/>
  <c r="N161" i="35" s="1"/>
  <c r="O161" i="35" s="1"/>
  <c r="K162" i="35"/>
  <c r="L162" i="35" s="1"/>
  <c r="M162" i="35" s="1"/>
  <c r="N162" i="35" s="1"/>
  <c r="O162" i="35" s="1"/>
  <c r="K163" i="35"/>
  <c r="L163" i="35" s="1"/>
  <c r="M163" i="35" s="1"/>
  <c r="N163" i="35" s="1"/>
  <c r="O163" i="35" s="1"/>
  <c r="K164" i="35"/>
  <c r="L164" i="35" s="1"/>
  <c r="M164" i="35" s="1"/>
  <c r="N164" i="35" s="1"/>
  <c r="O164" i="35" s="1"/>
  <c r="K165" i="35"/>
  <c r="L165" i="35" s="1"/>
  <c r="M165" i="35" s="1"/>
  <c r="N165" i="35" s="1"/>
  <c r="O165" i="35" s="1"/>
  <c r="K39" i="24"/>
  <c r="D131" i="24"/>
  <c r="D247" i="24" s="1"/>
  <c r="D128" i="24"/>
  <c r="D244" i="24" s="1"/>
  <c r="D125" i="24"/>
  <c r="D241" i="24" s="1"/>
  <c r="D122" i="24"/>
  <c r="D238" i="24" s="1"/>
  <c r="D119" i="24"/>
  <c r="D235" i="24" s="1"/>
  <c r="D116" i="24"/>
  <c r="D232" i="24" s="1"/>
  <c r="D113" i="24"/>
  <c r="D229" i="24" s="1"/>
  <c r="D110" i="24"/>
  <c r="D226" i="24" s="1"/>
  <c r="D107" i="24"/>
  <c r="D223" i="24" s="1"/>
  <c r="D104" i="24"/>
  <c r="D220" i="24" s="1"/>
  <c r="D101" i="24"/>
  <c r="D217" i="24" s="1"/>
  <c r="D98" i="24"/>
  <c r="D214" i="24" s="1"/>
  <c r="D95" i="24"/>
  <c r="D211" i="24" s="1"/>
  <c r="D92" i="24"/>
  <c r="D208" i="24" s="1"/>
  <c r="D89" i="24"/>
  <c r="D205" i="24" s="1"/>
  <c r="I70" i="18"/>
  <c r="I96" i="18"/>
  <c r="J96" i="18" s="1"/>
  <c r="K96" i="18" s="1"/>
  <c r="L96" i="18" s="1"/>
  <c r="M96" i="18" s="1"/>
  <c r="N96" i="18" s="1"/>
  <c r="I95" i="18"/>
  <c r="I94" i="18"/>
  <c r="J94" i="18" s="1"/>
  <c r="K94" i="18" s="1"/>
  <c r="L94" i="18" s="1"/>
  <c r="M94" i="18" s="1"/>
  <c r="N94" i="18" s="1"/>
  <c r="I93" i="18"/>
  <c r="J93" i="18" s="1"/>
  <c r="K93" i="18" s="1"/>
  <c r="L93" i="18" s="1"/>
  <c r="M93" i="18" s="1"/>
  <c r="N93" i="18" s="1"/>
  <c r="I72" i="18"/>
  <c r="J72" i="18" s="1"/>
  <c r="K72" i="18" s="1"/>
  <c r="L72" i="18" s="1"/>
  <c r="M72" i="18" s="1"/>
  <c r="N72" i="18" s="1"/>
  <c r="I71" i="18"/>
  <c r="J71" i="18" s="1"/>
  <c r="K71" i="18" s="1"/>
  <c r="L71" i="18" s="1"/>
  <c r="M71" i="18" s="1"/>
  <c r="N71" i="18" s="1"/>
  <c r="I69" i="18"/>
  <c r="J69" i="18" s="1"/>
  <c r="K69" i="18" s="1"/>
  <c r="L69" i="18" s="1"/>
  <c r="M69" i="18" s="1"/>
  <c r="N69" i="18" s="1"/>
  <c r="D86" i="24"/>
  <c r="D202" i="24" s="1"/>
  <c r="D83" i="24"/>
  <c r="D199" i="24" s="1"/>
  <c r="D80" i="24"/>
  <c r="D196" i="24" s="1"/>
  <c r="D77" i="24"/>
  <c r="D193" i="24" s="1"/>
  <c r="D74" i="24"/>
  <c r="D190" i="24" s="1"/>
  <c r="D71" i="24"/>
  <c r="D187" i="24" s="1"/>
  <c r="D68" i="24"/>
  <c r="D184" i="24" s="1"/>
  <c r="D65" i="24"/>
  <c r="D181" i="24" s="1"/>
  <c r="D62" i="24"/>
  <c r="D178" i="24" s="1"/>
  <c r="D59" i="24"/>
  <c r="D175" i="24" s="1"/>
  <c r="D56" i="24"/>
  <c r="D172" i="24" s="1"/>
  <c r="D53" i="24"/>
  <c r="D169" i="24" s="1"/>
  <c r="D50" i="24"/>
  <c r="D166" i="24" s="1"/>
  <c r="D47" i="24"/>
  <c r="D163" i="24" s="1"/>
  <c r="D44" i="24"/>
  <c r="D160" i="24" s="1"/>
  <c r="U16" i="43"/>
  <c r="V16" i="43" s="1"/>
  <c r="W16" i="43" s="1"/>
  <c r="X16" i="43" s="1"/>
  <c r="U17" i="43"/>
  <c r="V17" i="43" s="1"/>
  <c r="W17" i="43" s="1"/>
  <c r="X17" i="43" s="1"/>
  <c r="U18" i="43"/>
  <c r="V18" i="43" s="1"/>
  <c r="W18" i="43" s="1"/>
  <c r="X18" i="43" s="1"/>
  <c r="U20" i="43"/>
  <c r="V20" i="43" s="1"/>
  <c r="W20" i="43" s="1"/>
  <c r="X20" i="43" s="1"/>
  <c r="U21" i="43"/>
  <c r="V21" i="43" s="1"/>
  <c r="W21" i="43" s="1"/>
  <c r="X21" i="43" s="1"/>
  <c r="U22" i="43"/>
  <c r="V22" i="43" s="1"/>
  <c r="W22" i="43" s="1"/>
  <c r="X22" i="43" s="1"/>
  <c r="U24" i="43"/>
  <c r="V24" i="43" s="1"/>
  <c r="W24" i="43" s="1"/>
  <c r="X24" i="43" s="1"/>
  <c r="U26" i="43"/>
  <c r="V26" i="43" s="1"/>
  <c r="W26" i="43" s="1"/>
  <c r="X26" i="43" s="1"/>
  <c r="U27" i="43"/>
  <c r="V27" i="43" s="1"/>
  <c r="W27" i="43" s="1"/>
  <c r="X27" i="43" s="1"/>
  <c r="U28" i="43"/>
  <c r="V28" i="43" s="1"/>
  <c r="W28" i="43" s="1"/>
  <c r="X28" i="43" s="1"/>
  <c r="U30" i="43"/>
  <c r="V30" i="43" s="1"/>
  <c r="W30" i="43" s="1"/>
  <c r="X30" i="43" s="1"/>
  <c r="U32" i="43"/>
  <c r="V32" i="43" s="1"/>
  <c r="W32" i="43" s="1"/>
  <c r="X32" i="43" s="1"/>
  <c r="U33" i="43"/>
  <c r="V33" i="43" s="1"/>
  <c r="W33" i="43" s="1"/>
  <c r="X33" i="43" s="1"/>
  <c r="U34" i="43"/>
  <c r="V34" i="43" s="1"/>
  <c r="W34" i="43" s="1"/>
  <c r="X34" i="43" s="1"/>
  <c r="U36" i="43"/>
  <c r="V36" i="43" s="1"/>
  <c r="W36" i="43" s="1"/>
  <c r="X36" i="43" s="1"/>
  <c r="U37" i="43"/>
  <c r="V37" i="43" s="1"/>
  <c r="W37" i="43" s="1"/>
  <c r="X37" i="43" s="1"/>
  <c r="U38" i="43"/>
  <c r="V38" i="43" s="1"/>
  <c r="W38" i="43" s="1"/>
  <c r="X38" i="43" s="1"/>
  <c r="U40" i="43"/>
  <c r="V40" i="43" s="1"/>
  <c r="W40" i="43" s="1"/>
  <c r="X40" i="43" s="1"/>
  <c r="U42" i="43"/>
  <c r="V42" i="43" s="1"/>
  <c r="W42" i="43" s="1"/>
  <c r="X42" i="43" s="1"/>
  <c r="U44" i="43"/>
  <c r="V44" i="43" s="1"/>
  <c r="W44" i="43" s="1"/>
  <c r="X44" i="43" s="1"/>
  <c r="U46" i="43"/>
  <c r="V46" i="43" s="1"/>
  <c r="W46" i="43" s="1"/>
  <c r="X46" i="43" s="1"/>
  <c r="U47" i="43"/>
  <c r="V47" i="43" s="1"/>
  <c r="W47" i="43" s="1"/>
  <c r="X47" i="43" s="1"/>
  <c r="U48" i="43"/>
  <c r="V48" i="43" s="1"/>
  <c r="W48" i="43" s="1"/>
  <c r="X48" i="43" s="1"/>
  <c r="U49" i="43"/>
  <c r="V49" i="43" s="1"/>
  <c r="W49" i="43" s="1"/>
  <c r="X49" i="43" s="1"/>
  <c r="U50" i="43"/>
  <c r="V50" i="43" s="1"/>
  <c r="W50" i="43" s="1"/>
  <c r="X50" i="43" s="1"/>
  <c r="U51" i="43"/>
  <c r="V51" i="43" s="1"/>
  <c r="W51" i="43" s="1"/>
  <c r="X51" i="43" s="1"/>
  <c r="U53" i="43"/>
  <c r="V53" i="43" s="1"/>
  <c r="W53" i="43" s="1"/>
  <c r="X53" i="43" s="1"/>
  <c r="U54" i="43"/>
  <c r="V54" i="43" s="1"/>
  <c r="W54" i="43" s="1"/>
  <c r="X54" i="43" s="1"/>
  <c r="U55" i="43"/>
  <c r="V55" i="43" s="1"/>
  <c r="W55" i="43" s="1"/>
  <c r="X55" i="43" s="1"/>
  <c r="U56" i="43"/>
  <c r="V56" i="43" s="1"/>
  <c r="W56" i="43" s="1"/>
  <c r="X56" i="43" s="1"/>
  <c r="U58" i="43"/>
  <c r="V58" i="43" s="1"/>
  <c r="W58" i="43" s="1"/>
  <c r="X58" i="43" s="1"/>
  <c r="U59" i="43"/>
  <c r="V59" i="43" s="1"/>
  <c r="W59" i="43" s="1"/>
  <c r="X59" i="43" s="1"/>
  <c r="U60" i="43"/>
  <c r="V60" i="43" s="1"/>
  <c r="W60" i="43" s="1"/>
  <c r="X60" i="43" s="1"/>
  <c r="U61" i="43"/>
  <c r="V61" i="43" s="1"/>
  <c r="W61" i="43" s="1"/>
  <c r="X61" i="43" s="1"/>
  <c r="U62" i="43"/>
  <c r="V62" i="43" s="1"/>
  <c r="W62" i="43" s="1"/>
  <c r="X62" i="43" s="1"/>
  <c r="U63" i="43"/>
  <c r="V63" i="43" s="1"/>
  <c r="W63" i="43" s="1"/>
  <c r="X63" i="43" s="1"/>
  <c r="U65" i="43"/>
  <c r="V65" i="43" s="1"/>
  <c r="W65" i="43" s="1"/>
  <c r="X65" i="43" s="1"/>
  <c r="U66" i="43"/>
  <c r="V66" i="43" s="1"/>
  <c r="W66" i="43" s="1"/>
  <c r="X66" i="43" s="1"/>
  <c r="U67" i="43"/>
  <c r="V67" i="43" s="1"/>
  <c r="W67" i="43" s="1"/>
  <c r="X67" i="43" s="1"/>
  <c r="U69" i="43"/>
  <c r="V69" i="43" s="1"/>
  <c r="W69" i="43" s="1"/>
  <c r="X69" i="43" s="1"/>
  <c r="U70" i="43"/>
  <c r="V70" i="43" s="1"/>
  <c r="W70" i="43" s="1"/>
  <c r="X70" i="43" s="1"/>
  <c r="U71" i="43"/>
  <c r="V71" i="43" s="1"/>
  <c r="W71" i="43" s="1"/>
  <c r="X71" i="43" s="1"/>
  <c r="U72" i="43"/>
  <c r="V72" i="43" s="1"/>
  <c r="W72" i="43" s="1"/>
  <c r="X72" i="43" s="1"/>
  <c r="U74" i="43"/>
  <c r="V74" i="43" s="1"/>
  <c r="W74" i="43" s="1"/>
  <c r="X74" i="43" s="1"/>
  <c r="U77" i="43"/>
  <c r="V77" i="43" s="1"/>
  <c r="W77" i="43" s="1"/>
  <c r="X77" i="43" s="1"/>
  <c r="U82" i="43"/>
  <c r="V82" i="43" s="1"/>
  <c r="W82" i="43" s="1"/>
  <c r="X82" i="43" s="1"/>
  <c r="U83" i="43"/>
  <c r="V83" i="43" s="1"/>
  <c r="W83" i="43" s="1"/>
  <c r="X83" i="43" s="1"/>
  <c r="U84" i="43"/>
  <c r="V84" i="43" s="1"/>
  <c r="W84" i="43" s="1"/>
  <c r="X84" i="43" s="1"/>
  <c r="U85" i="43"/>
  <c r="V85" i="43" s="1"/>
  <c r="W85" i="43" s="1"/>
  <c r="X85" i="43" s="1"/>
  <c r="U86" i="43"/>
  <c r="V86" i="43" s="1"/>
  <c r="W86" i="43" s="1"/>
  <c r="X86" i="43" s="1"/>
  <c r="U87" i="43"/>
  <c r="V87" i="43" s="1"/>
  <c r="W87" i="43" s="1"/>
  <c r="X87" i="43" s="1"/>
  <c r="U88" i="43"/>
  <c r="V88" i="43" s="1"/>
  <c r="W88" i="43" s="1"/>
  <c r="X88" i="43" s="1"/>
  <c r="U91" i="43"/>
  <c r="V91" i="43" s="1"/>
  <c r="W91" i="43" s="1"/>
  <c r="X91" i="43" s="1"/>
  <c r="U93" i="43"/>
  <c r="V93" i="43" s="1"/>
  <c r="W93" i="43" s="1"/>
  <c r="X93" i="43" s="1"/>
  <c r="U94" i="43"/>
  <c r="V94" i="43" s="1"/>
  <c r="W94" i="43" s="1"/>
  <c r="X94" i="43" s="1"/>
  <c r="U96" i="43"/>
  <c r="V96" i="43" s="1"/>
  <c r="W96" i="43" s="1"/>
  <c r="X96" i="43" s="1"/>
  <c r="U98" i="43"/>
  <c r="V98" i="43" s="1"/>
  <c r="W98" i="43" s="1"/>
  <c r="X98" i="43" s="1"/>
  <c r="U99" i="43"/>
  <c r="V99" i="43" s="1"/>
  <c r="W99" i="43" s="1"/>
  <c r="X99" i="43" s="1"/>
  <c r="U100" i="43"/>
  <c r="V100" i="43" s="1"/>
  <c r="W100" i="43" s="1"/>
  <c r="X100" i="43" s="1"/>
  <c r="U101" i="43"/>
  <c r="V101" i="43" s="1"/>
  <c r="W101" i="43" s="1"/>
  <c r="X101" i="43" s="1"/>
  <c r="U102" i="43"/>
  <c r="V102" i="43" s="1"/>
  <c r="W102" i="43" s="1"/>
  <c r="X102" i="43" s="1"/>
  <c r="U103" i="43"/>
  <c r="V103" i="43" s="1"/>
  <c r="W103" i="43" s="1"/>
  <c r="X103" i="43" s="1"/>
  <c r="U104" i="43"/>
  <c r="V104" i="43" s="1"/>
  <c r="W104" i="43" s="1"/>
  <c r="X104" i="43" s="1"/>
  <c r="U105" i="43"/>
  <c r="V105" i="43" s="1"/>
  <c r="W105" i="43" s="1"/>
  <c r="X105" i="43" s="1"/>
  <c r="U106" i="43"/>
  <c r="V106" i="43" s="1"/>
  <c r="W106" i="43" s="1"/>
  <c r="X106" i="43" s="1"/>
  <c r="U107" i="43"/>
  <c r="V107" i="43" s="1"/>
  <c r="W107" i="43" s="1"/>
  <c r="X107" i="43" s="1"/>
  <c r="U108" i="43"/>
  <c r="V108" i="43" s="1"/>
  <c r="W108" i="43" s="1"/>
  <c r="X108" i="43" s="1"/>
  <c r="U110" i="43"/>
  <c r="V110" i="43" s="1"/>
  <c r="W110" i="43" s="1"/>
  <c r="X110" i="43" s="1"/>
  <c r="U111" i="43"/>
  <c r="V111" i="43" s="1"/>
  <c r="W111" i="43" s="1"/>
  <c r="X111" i="43" s="1"/>
  <c r="U112" i="43"/>
  <c r="V112" i="43" s="1"/>
  <c r="W112" i="43" s="1"/>
  <c r="X112" i="43" s="1"/>
  <c r="U114" i="43"/>
  <c r="V114" i="43" s="1"/>
  <c r="W114" i="43" s="1"/>
  <c r="X114" i="43" s="1"/>
  <c r="U115" i="43"/>
  <c r="V115" i="43" s="1"/>
  <c r="W115" i="43" s="1"/>
  <c r="X115" i="43" s="1"/>
  <c r="U116" i="43"/>
  <c r="V116" i="43" s="1"/>
  <c r="W116" i="43" s="1"/>
  <c r="X116" i="43" s="1"/>
  <c r="U117" i="43"/>
  <c r="V117" i="43" s="1"/>
  <c r="W117" i="43" s="1"/>
  <c r="X117" i="43" s="1"/>
  <c r="U118" i="43"/>
  <c r="V118" i="43" s="1"/>
  <c r="W118" i="43" s="1"/>
  <c r="X118" i="43" s="1"/>
  <c r="U119" i="43"/>
  <c r="V119" i="43" s="1"/>
  <c r="W119" i="43" s="1"/>
  <c r="X119" i="43" s="1"/>
  <c r="U120" i="43"/>
  <c r="V120" i="43" s="1"/>
  <c r="W120" i="43" s="1"/>
  <c r="X120" i="43" s="1"/>
  <c r="U121" i="43"/>
  <c r="V121" i="43" s="1"/>
  <c r="W121" i="43" s="1"/>
  <c r="X121" i="43" s="1"/>
  <c r="U122" i="43"/>
  <c r="V122" i="43" s="1"/>
  <c r="W122" i="43" s="1"/>
  <c r="X122" i="43" s="1"/>
  <c r="U123" i="43"/>
  <c r="V123" i="43" s="1"/>
  <c r="W123" i="43" s="1"/>
  <c r="X123" i="43" s="1"/>
  <c r="U124" i="43"/>
  <c r="V124" i="43" s="1"/>
  <c r="W124" i="43" s="1"/>
  <c r="X124" i="43" s="1"/>
  <c r="U126" i="43"/>
  <c r="V126" i="43" s="1"/>
  <c r="W126" i="43" s="1"/>
  <c r="X126" i="43" s="1"/>
  <c r="U127" i="43"/>
  <c r="V127" i="43" s="1"/>
  <c r="W127" i="43" s="1"/>
  <c r="X127" i="43" s="1"/>
  <c r="U128" i="43"/>
  <c r="V128" i="43" s="1"/>
  <c r="W128" i="43" s="1"/>
  <c r="X128" i="43" s="1"/>
  <c r="U129" i="43"/>
  <c r="V129" i="43" s="1"/>
  <c r="W129" i="43" s="1"/>
  <c r="X129" i="43" s="1"/>
  <c r="U130" i="43"/>
  <c r="V130" i="43" s="1"/>
  <c r="W130" i="43" s="1"/>
  <c r="X130" i="43" s="1"/>
  <c r="U131" i="43"/>
  <c r="V131" i="43" s="1"/>
  <c r="W131" i="43" s="1"/>
  <c r="X131" i="43" s="1"/>
  <c r="U132" i="43"/>
  <c r="V132" i="43" s="1"/>
  <c r="W132" i="43" s="1"/>
  <c r="X132" i="43" s="1"/>
  <c r="U133" i="43"/>
  <c r="V133" i="43" s="1"/>
  <c r="W133" i="43" s="1"/>
  <c r="X133" i="43" s="1"/>
  <c r="U134" i="43"/>
  <c r="V134" i="43" s="1"/>
  <c r="W134" i="43" s="1"/>
  <c r="X134" i="43" s="1"/>
  <c r="U135" i="43"/>
  <c r="V135" i="43" s="1"/>
  <c r="W135" i="43" s="1"/>
  <c r="X135" i="43" s="1"/>
  <c r="U136" i="43"/>
  <c r="V136" i="43" s="1"/>
  <c r="W136" i="43" s="1"/>
  <c r="X136" i="43" s="1"/>
  <c r="U137" i="43"/>
  <c r="V137" i="43" s="1"/>
  <c r="W137" i="43" s="1"/>
  <c r="X137" i="43" s="1"/>
  <c r="U138" i="43"/>
  <c r="V138" i="43" s="1"/>
  <c r="W138" i="43" s="1"/>
  <c r="X138" i="43" s="1"/>
  <c r="U139" i="43"/>
  <c r="V139" i="43" s="1"/>
  <c r="W139" i="43" s="1"/>
  <c r="X139" i="43" s="1"/>
  <c r="K110" i="35"/>
  <c r="L110" i="35"/>
  <c r="M110" i="35"/>
  <c r="I26" i="18"/>
  <c r="J26" i="18" s="1"/>
  <c r="K26" i="18" s="1"/>
  <c r="L26" i="18" s="1"/>
  <c r="M26" i="18" s="1"/>
  <c r="N26" i="18" s="1"/>
  <c r="I27" i="18"/>
  <c r="J27" i="18" s="1"/>
  <c r="K27" i="18" s="1"/>
  <c r="L27" i="18" s="1"/>
  <c r="M27" i="18" s="1"/>
  <c r="N27" i="18" s="1"/>
  <c r="I28" i="18"/>
  <c r="J28" i="18" s="1"/>
  <c r="K28" i="18" s="1"/>
  <c r="L28" i="18" s="1"/>
  <c r="M28" i="18" s="1"/>
  <c r="N28" i="18" s="1"/>
  <c r="I29" i="18"/>
  <c r="J29" i="18" s="1"/>
  <c r="K29" i="18" s="1"/>
  <c r="L29" i="18" s="1"/>
  <c r="M29" i="18" s="1"/>
  <c r="N29" i="18" s="1"/>
  <c r="I59" i="18"/>
  <c r="J59" i="18" s="1"/>
  <c r="K59" i="18" s="1"/>
  <c r="L59" i="18" s="1"/>
  <c r="M59" i="18" s="1"/>
  <c r="N59" i="18" s="1"/>
  <c r="I60" i="18"/>
  <c r="J60" i="18" s="1"/>
  <c r="K60" i="18" s="1"/>
  <c r="L60" i="18" s="1"/>
  <c r="M60" i="18" s="1"/>
  <c r="N60" i="18" s="1"/>
  <c r="I62" i="18"/>
  <c r="J62" i="18" s="1"/>
  <c r="K62" i="18" s="1"/>
  <c r="L62" i="18" s="1"/>
  <c r="M62" i="18" s="1"/>
  <c r="N62" i="18" s="1"/>
  <c r="I63" i="18"/>
  <c r="J63" i="18" s="1"/>
  <c r="K63" i="18" s="1"/>
  <c r="L63" i="18" s="1"/>
  <c r="M63" i="18" s="1"/>
  <c r="N63" i="18" s="1"/>
  <c r="J84" i="18"/>
  <c r="K84" i="18" s="1"/>
  <c r="L84" i="18" s="1"/>
  <c r="M84" i="18" s="1"/>
  <c r="N84" i="18" s="1"/>
  <c r="I85" i="18"/>
  <c r="J85" i="18" s="1"/>
  <c r="K85" i="18" s="1"/>
  <c r="L85" i="18" s="1"/>
  <c r="M85" i="18" s="1"/>
  <c r="N85" i="18" s="1"/>
  <c r="I86" i="18"/>
  <c r="J86" i="18" s="1"/>
  <c r="K86" i="18" s="1"/>
  <c r="L86" i="18" s="1"/>
  <c r="M86" i="18" s="1"/>
  <c r="N86" i="18" s="1"/>
  <c r="I87" i="18"/>
  <c r="J87" i="18" s="1"/>
  <c r="K87" i="18" s="1"/>
  <c r="L87" i="18" s="1"/>
  <c r="M87" i="18" s="1"/>
  <c r="N87" i="18" s="1"/>
  <c r="M19" i="36"/>
  <c r="M20" i="36"/>
  <c r="M21" i="36"/>
  <c r="M22" i="36"/>
  <c r="M23" i="36"/>
  <c r="M24" i="36"/>
  <c r="M25" i="36"/>
  <c r="M26" i="36"/>
  <c r="M27" i="36"/>
  <c r="M28" i="36"/>
  <c r="M29" i="36"/>
  <c r="M30" i="36"/>
  <c r="M31" i="36"/>
  <c r="M32" i="36"/>
  <c r="M33" i="36"/>
  <c r="M34" i="36"/>
  <c r="M35" i="36"/>
  <c r="M36" i="36"/>
  <c r="M37" i="36"/>
  <c r="M38" i="36"/>
  <c r="M39" i="36"/>
  <c r="M40" i="36"/>
  <c r="M41" i="36"/>
  <c r="M42" i="36"/>
  <c r="M43" i="36"/>
  <c r="M44" i="36"/>
  <c r="M45" i="36"/>
  <c r="M46" i="36"/>
  <c r="M47" i="36"/>
  <c r="M48" i="36"/>
  <c r="M49" i="36"/>
  <c r="M50" i="36"/>
  <c r="M51" i="36"/>
  <c r="M52" i="36"/>
  <c r="M53" i="36"/>
  <c r="M54" i="36"/>
  <c r="M55" i="36"/>
  <c r="M56" i="36"/>
  <c r="M57" i="36"/>
  <c r="M58" i="36"/>
  <c r="M59" i="36"/>
  <c r="M60" i="36"/>
  <c r="M61" i="36"/>
  <c r="M62" i="36"/>
  <c r="M63" i="36"/>
  <c r="M64" i="36"/>
  <c r="M65" i="36"/>
  <c r="M66" i="36"/>
  <c r="M67" i="36"/>
  <c r="M68" i="36"/>
  <c r="M69" i="36"/>
  <c r="M70" i="36"/>
  <c r="K14" i="36"/>
  <c r="N14" i="36" s="1"/>
  <c r="K15" i="36"/>
  <c r="N15" i="36" s="1"/>
  <c r="K16" i="36"/>
  <c r="N16" i="36" s="1"/>
  <c r="K17" i="36"/>
  <c r="N17" i="36" s="1"/>
  <c r="K18" i="36"/>
  <c r="N18" i="36" s="1"/>
  <c r="K19" i="36"/>
  <c r="N19" i="36" s="1"/>
  <c r="K20" i="36"/>
  <c r="N20" i="36" s="1"/>
  <c r="K21" i="36"/>
  <c r="N21" i="36" s="1"/>
  <c r="K22" i="36"/>
  <c r="N22" i="36" s="1"/>
  <c r="K23" i="36"/>
  <c r="N23" i="36" s="1"/>
  <c r="K24" i="36"/>
  <c r="N24" i="36" s="1"/>
  <c r="K25" i="36"/>
  <c r="N25" i="36" s="1"/>
  <c r="K26" i="36"/>
  <c r="N26" i="36" s="1"/>
  <c r="K27" i="36"/>
  <c r="N27" i="36" s="1"/>
  <c r="K28" i="36"/>
  <c r="N28" i="36" s="1"/>
  <c r="K29" i="36"/>
  <c r="N29" i="36" s="1"/>
  <c r="K30" i="36"/>
  <c r="N30" i="36" s="1"/>
  <c r="K31" i="36"/>
  <c r="N31" i="36" s="1"/>
  <c r="K32" i="36"/>
  <c r="N32" i="36" s="1"/>
  <c r="K33" i="36"/>
  <c r="N33" i="36" s="1"/>
  <c r="K34" i="36"/>
  <c r="N34" i="36" s="1"/>
  <c r="K35" i="36"/>
  <c r="N35" i="36" s="1"/>
  <c r="K36" i="36"/>
  <c r="N36" i="36" s="1"/>
  <c r="K37" i="36"/>
  <c r="N37" i="36" s="1"/>
  <c r="K38" i="36"/>
  <c r="N38" i="36" s="1"/>
  <c r="K39" i="36"/>
  <c r="N39" i="36" s="1"/>
  <c r="K40" i="36"/>
  <c r="N40" i="36" s="1"/>
  <c r="K41" i="36"/>
  <c r="N41" i="36" s="1"/>
  <c r="K42" i="36"/>
  <c r="N42" i="36" s="1"/>
  <c r="K43" i="36"/>
  <c r="N43" i="36" s="1"/>
  <c r="K44" i="36"/>
  <c r="N44" i="36" s="1"/>
  <c r="K45" i="36"/>
  <c r="N45" i="36" s="1"/>
  <c r="K46" i="36"/>
  <c r="N46" i="36" s="1"/>
  <c r="K47" i="36"/>
  <c r="N47" i="36" s="1"/>
  <c r="K48" i="36"/>
  <c r="N48" i="36" s="1"/>
  <c r="K49" i="36"/>
  <c r="N49" i="36" s="1"/>
  <c r="K50" i="36"/>
  <c r="N50" i="36" s="1"/>
  <c r="K51" i="36"/>
  <c r="N51" i="36" s="1"/>
  <c r="K52" i="36"/>
  <c r="N52" i="36" s="1"/>
  <c r="K53" i="36"/>
  <c r="N53" i="36" s="1"/>
  <c r="K54" i="36"/>
  <c r="N54" i="36" s="1"/>
  <c r="K55" i="36"/>
  <c r="N55" i="36" s="1"/>
  <c r="K56" i="36"/>
  <c r="N56" i="36" s="1"/>
  <c r="K57" i="36"/>
  <c r="N57" i="36" s="1"/>
  <c r="K58" i="36"/>
  <c r="N58" i="36" s="1"/>
  <c r="K59" i="36"/>
  <c r="N59" i="36" s="1"/>
  <c r="K60" i="36"/>
  <c r="N60" i="36"/>
  <c r="K61" i="36"/>
  <c r="N61" i="36" s="1"/>
  <c r="K62" i="36"/>
  <c r="N62" i="36" s="1"/>
  <c r="K63" i="36"/>
  <c r="N63" i="36" s="1"/>
  <c r="K64" i="36"/>
  <c r="N64" i="36" s="1"/>
  <c r="K65" i="36"/>
  <c r="N65" i="36" s="1"/>
  <c r="K66" i="36"/>
  <c r="N66" i="36" s="1"/>
  <c r="K67" i="36"/>
  <c r="N67" i="36" s="1"/>
  <c r="K68" i="36"/>
  <c r="N68" i="36"/>
  <c r="K69" i="36"/>
  <c r="N69" i="36" s="1"/>
  <c r="K70" i="36"/>
  <c r="N70" i="36" s="1"/>
  <c r="L14" i="36"/>
  <c r="L15" i="36"/>
  <c r="L16" i="36"/>
  <c r="L17" i="36"/>
  <c r="L18" i="36"/>
  <c r="L19" i="36"/>
  <c r="L20" i="36"/>
  <c r="L21" i="36"/>
  <c r="L22" i="36"/>
  <c r="L23" i="36"/>
  <c r="L24" i="36"/>
  <c r="L25" i="36"/>
  <c r="L26" i="36"/>
  <c r="L27" i="36"/>
  <c r="L28" i="36"/>
  <c r="L29" i="36"/>
  <c r="L30" i="36"/>
  <c r="L31" i="36"/>
  <c r="L32" i="36"/>
  <c r="L33" i="36"/>
  <c r="L34" i="36"/>
  <c r="L35" i="36"/>
  <c r="L36" i="36"/>
  <c r="L37" i="36"/>
  <c r="L38" i="36"/>
  <c r="L39" i="36"/>
  <c r="L40" i="36"/>
  <c r="L41" i="36"/>
  <c r="L42" i="36"/>
  <c r="L43" i="36"/>
  <c r="L44" i="36"/>
  <c r="L45" i="36"/>
  <c r="L46" i="36"/>
  <c r="L47" i="36"/>
  <c r="L48" i="36"/>
  <c r="L49" i="36"/>
  <c r="L50" i="36"/>
  <c r="L51" i="36"/>
  <c r="L52" i="36"/>
  <c r="L53" i="36"/>
  <c r="L54" i="36"/>
  <c r="L55" i="36"/>
  <c r="L56" i="36"/>
  <c r="L57" i="36"/>
  <c r="L58" i="36"/>
  <c r="L59" i="36"/>
  <c r="L60" i="36"/>
  <c r="L61" i="36"/>
  <c r="L62" i="36"/>
  <c r="L63" i="36"/>
  <c r="L64" i="36"/>
  <c r="L65" i="36"/>
  <c r="L66" i="36"/>
  <c r="L67" i="36"/>
  <c r="L68" i="36"/>
  <c r="L69" i="36"/>
  <c r="L70" i="36"/>
  <c r="F31" i="28"/>
  <c r="F33" i="28" s="1"/>
  <c r="J41" i="28"/>
  <c r="J43" i="28" s="1"/>
  <c r="J31" i="28"/>
  <c r="J33" i="28" s="1"/>
  <c r="H41" i="28"/>
  <c r="H43" i="28" s="1"/>
  <c r="G31" i="28"/>
  <c r="G33" i="28" s="1"/>
  <c r="I41" i="28"/>
  <c r="I43" i="28" s="1"/>
  <c r="I31" i="28"/>
  <c r="I33" i="28" s="1"/>
  <c r="F130" i="13"/>
  <c r="F162" i="13" s="1"/>
  <c r="F194" i="13" s="1"/>
  <c r="F226" i="13" s="1"/>
  <c r="D149" i="13"/>
  <c r="D181" i="13" s="1"/>
  <c r="D213" i="13" s="1"/>
  <c r="M14" i="36"/>
  <c r="K166" i="35"/>
  <c r="L166" i="35" s="1"/>
  <c r="M166" i="35" s="1"/>
  <c r="N166" i="35" s="1"/>
  <c r="O166" i="35" s="1"/>
  <c r="I126" i="18"/>
  <c r="J126" i="18" s="1"/>
  <c r="K126" i="18" s="1"/>
  <c r="L126" i="18" s="1"/>
  <c r="M126" i="18" s="1"/>
  <c r="N126" i="18" s="1"/>
  <c r="I132" i="18"/>
  <c r="J132" i="18" s="1"/>
  <c r="M17" i="36"/>
  <c r="M16" i="36"/>
  <c r="L109" i="35"/>
  <c r="H171" i="31"/>
  <c r="H197" i="31"/>
  <c r="H216" i="31"/>
  <c r="H112" i="31"/>
  <c r="H172" i="31"/>
  <c r="H191" i="31"/>
  <c r="H204" i="31"/>
  <c r="H217" i="31"/>
  <c r="H105" i="31"/>
  <c r="H109" i="31"/>
  <c r="H113" i="31"/>
  <c r="K109" i="35"/>
  <c r="H115" i="31"/>
  <c r="O109" i="35"/>
  <c r="M109" i="35"/>
  <c r="N109" i="35"/>
  <c r="I81" i="29" l="1"/>
  <c r="P65" i="29"/>
  <c r="H52" i="29"/>
  <c r="I77" i="29"/>
  <c r="N117" i="43"/>
  <c r="Z117" i="43"/>
  <c r="N124" i="43"/>
  <c r="Z124" i="43"/>
  <c r="N129" i="43"/>
  <c r="Z129" i="43"/>
  <c r="N109" i="43"/>
  <c r="Z109" i="43"/>
  <c r="N57" i="43"/>
  <c r="Z57" i="43"/>
  <c r="Q17" i="53"/>
  <c r="G17" i="43"/>
  <c r="N72" i="43"/>
  <c r="Z72" i="43"/>
  <c r="N40" i="43"/>
  <c r="Z40" i="43"/>
  <c r="Z106" i="43"/>
  <c r="N106" i="43"/>
  <c r="N41" i="43"/>
  <c r="Z41" i="43"/>
  <c r="N61" i="43"/>
  <c r="Z61" i="43"/>
  <c r="N32" i="43"/>
  <c r="Z32" i="43"/>
  <c r="N29" i="43"/>
  <c r="Z29" i="43"/>
  <c r="N56" i="43"/>
  <c r="Z56" i="43"/>
  <c r="N92" i="43"/>
  <c r="Z92" i="43"/>
  <c r="Q49" i="53"/>
  <c r="G49" i="43"/>
  <c r="N25" i="43"/>
  <c r="Z25" i="43"/>
  <c r="N76" i="43"/>
  <c r="Z76" i="43"/>
  <c r="N44" i="43"/>
  <c r="Z44" i="43"/>
  <c r="N24" i="43"/>
  <c r="Z24" i="43"/>
  <c r="N20" i="43"/>
  <c r="Z20" i="43"/>
  <c r="N110" i="43"/>
  <c r="Z110" i="43"/>
  <c r="N133" i="43"/>
  <c r="Z133" i="43"/>
  <c r="N60" i="43"/>
  <c r="Z60" i="43"/>
  <c r="N128" i="43"/>
  <c r="Z128" i="43"/>
  <c r="Q104" i="53"/>
  <c r="G104" i="43"/>
  <c r="N45" i="43"/>
  <c r="Z45" i="43"/>
  <c r="Q65" i="53"/>
  <c r="G65" i="43"/>
  <c r="N21" i="43"/>
  <c r="Z21" i="43"/>
  <c r="AG25" i="53"/>
  <c r="Q25" i="53"/>
  <c r="AG76" i="53"/>
  <c r="Q76" i="53"/>
  <c r="AG109" i="53"/>
  <c r="Q109" i="53"/>
  <c r="AG24" i="53"/>
  <c r="Q24" i="53"/>
  <c r="AG57" i="53"/>
  <c r="Q57" i="53"/>
  <c r="AG20" i="53"/>
  <c r="Q20" i="53"/>
  <c r="AG110" i="53"/>
  <c r="Q110" i="53"/>
  <c r="AG72" i="53"/>
  <c r="Q72" i="53"/>
  <c r="AG40" i="53"/>
  <c r="Q40" i="53"/>
  <c r="AG106" i="53"/>
  <c r="Q106" i="53"/>
  <c r="AG41" i="53"/>
  <c r="Q41" i="53"/>
  <c r="AG61" i="53"/>
  <c r="Q61" i="53"/>
  <c r="AG32" i="53"/>
  <c r="Q32" i="53"/>
  <c r="AG29" i="53"/>
  <c r="Q29" i="53"/>
  <c r="AG117" i="53"/>
  <c r="Q117" i="53"/>
  <c r="AG56" i="53"/>
  <c r="Q56" i="53"/>
  <c r="AG124" i="53"/>
  <c r="Q124" i="53"/>
  <c r="AG92" i="53"/>
  <c r="Q92" i="53"/>
  <c r="AG129" i="53"/>
  <c r="Q129" i="53"/>
  <c r="AG44" i="53"/>
  <c r="Q44" i="53"/>
  <c r="AG133" i="53"/>
  <c r="Q133" i="53"/>
  <c r="AG60" i="53"/>
  <c r="Q60" i="53"/>
  <c r="AG128" i="53"/>
  <c r="Q128" i="53"/>
  <c r="AG45" i="53"/>
  <c r="Q45" i="53"/>
  <c r="AG21" i="53"/>
  <c r="Q21" i="53"/>
  <c r="N30" i="18"/>
  <c r="I82" i="29"/>
  <c r="J104" i="53"/>
  <c r="H104" i="43" s="1"/>
  <c r="AG104" i="53"/>
  <c r="J49" i="53"/>
  <c r="H49" i="43" s="1"/>
  <c r="AG49" i="53"/>
  <c r="J65" i="53"/>
  <c r="AG65" i="53"/>
  <c r="J17" i="53"/>
  <c r="AG17" i="53"/>
  <c r="Y60" i="29"/>
  <c r="Y64" i="29"/>
  <c r="Y68" i="29"/>
  <c r="Y72" i="29"/>
  <c r="Y76" i="29"/>
  <c r="Y80" i="29"/>
  <c r="Y84" i="29"/>
  <c r="Y88" i="29"/>
  <c r="Y92" i="29"/>
  <c r="Y96" i="29"/>
  <c r="Y100" i="29"/>
  <c r="Y104" i="29"/>
  <c r="Y108" i="29"/>
  <c r="Y112" i="29"/>
  <c r="Y116" i="29"/>
  <c r="Y120" i="29"/>
  <c r="Y124" i="29"/>
  <c r="Y128" i="29"/>
  <c r="Y132" i="29"/>
  <c r="Y136" i="29"/>
  <c r="Y140" i="29"/>
  <c r="Y61" i="29"/>
  <c r="Y65" i="29"/>
  <c r="Y69" i="29"/>
  <c r="Y73" i="29"/>
  <c r="Y77" i="29"/>
  <c r="Y81" i="29"/>
  <c r="Y85" i="29"/>
  <c r="Y89" i="29"/>
  <c r="Y93" i="29"/>
  <c r="Y97" i="29"/>
  <c r="Y101" i="29"/>
  <c r="Y105" i="29"/>
  <c r="Y109" i="29"/>
  <c r="Y113" i="29"/>
  <c r="Y117" i="29"/>
  <c r="Y121" i="29"/>
  <c r="Y125" i="29"/>
  <c r="Y129" i="29"/>
  <c r="Y133" i="29"/>
  <c r="Y137" i="29"/>
  <c r="Y141" i="29"/>
  <c r="Y62" i="29"/>
  <c r="Y66" i="29"/>
  <c r="Y70" i="29"/>
  <c r="Y74" i="29"/>
  <c r="Y78" i="29"/>
  <c r="Y82" i="29"/>
  <c r="Y86" i="29"/>
  <c r="Y90" i="29"/>
  <c r="Y94" i="29"/>
  <c r="Y98" i="29"/>
  <c r="Y102" i="29"/>
  <c r="Y106" i="29"/>
  <c r="Y110" i="29"/>
  <c r="Y114" i="29"/>
  <c r="Y118" i="29"/>
  <c r="Y122" i="29"/>
  <c r="Y126" i="29"/>
  <c r="Y130" i="29"/>
  <c r="Y134" i="29"/>
  <c r="Y138" i="29"/>
  <c r="Y142" i="29"/>
  <c r="Y146" i="29"/>
  <c r="Y150" i="29"/>
  <c r="Y154" i="29"/>
  <c r="Y143" i="29"/>
  <c r="Y147" i="29"/>
  <c r="Y151" i="29"/>
  <c r="Y155" i="29"/>
  <c r="Y59" i="29"/>
  <c r="Y63" i="29"/>
  <c r="Y67" i="29"/>
  <c r="Y71" i="29"/>
  <c r="Y75" i="29"/>
  <c r="Y79" i="29"/>
  <c r="Y83" i="29"/>
  <c r="Y87" i="29"/>
  <c r="Y91" i="29"/>
  <c r="Y95" i="29"/>
  <c r="Y99" i="29"/>
  <c r="Y103" i="29"/>
  <c r="Y107" i="29"/>
  <c r="Y111" i="29"/>
  <c r="Y115" i="29"/>
  <c r="Y119" i="29"/>
  <c r="Y123" i="29"/>
  <c r="Y127" i="29"/>
  <c r="Y131" i="29"/>
  <c r="Y135" i="29"/>
  <c r="Y139" i="29"/>
  <c r="Y144" i="29"/>
  <c r="Y148" i="29"/>
  <c r="Y152" i="29"/>
  <c r="Y156" i="29"/>
  <c r="Y57" i="29"/>
  <c r="Y58" i="29"/>
  <c r="Y145" i="29"/>
  <c r="Y149" i="29"/>
  <c r="Y153" i="29"/>
  <c r="L146" i="18"/>
  <c r="M146" i="18" s="1"/>
  <c r="N146" i="18" s="1"/>
  <c r="L204" i="35"/>
  <c r="M84" i="35"/>
  <c r="J20" i="38" s="1"/>
  <c r="I66" i="13"/>
  <c r="AB66" i="13" s="1"/>
  <c r="E62" i="13"/>
  <c r="J62" i="13" s="1"/>
  <c r="G66" i="13"/>
  <c r="AK66" i="13" s="1"/>
  <c r="AL66" i="13" s="1"/>
  <c r="AK34" i="13"/>
  <c r="AL34" i="13" s="1"/>
  <c r="O33" i="13"/>
  <c r="U33" i="13"/>
  <c r="S33" i="13"/>
  <c r="R33" i="13"/>
  <c r="K61" i="13"/>
  <c r="T61" i="13" s="1"/>
  <c r="S29" i="13"/>
  <c r="O29" i="13"/>
  <c r="R29" i="13"/>
  <c r="U29" i="13"/>
  <c r="G58" i="13"/>
  <c r="AK26" i="13"/>
  <c r="AL26" i="13" s="1"/>
  <c r="K57" i="13"/>
  <c r="T57" i="13" s="1"/>
  <c r="U25" i="13"/>
  <c r="O25" i="13"/>
  <c r="S25" i="13"/>
  <c r="R25" i="13"/>
  <c r="K56" i="13"/>
  <c r="T56" i="13" s="1"/>
  <c r="R24" i="13"/>
  <c r="S24" i="13"/>
  <c r="O24" i="13"/>
  <c r="U24" i="13"/>
  <c r="G64" i="13"/>
  <c r="AK64" i="13" s="1"/>
  <c r="AL64" i="13" s="1"/>
  <c r="AK32" i="13"/>
  <c r="AL32" i="13" s="1"/>
  <c r="K63" i="13"/>
  <c r="T63" i="13" s="1"/>
  <c r="R31" i="13"/>
  <c r="U31" i="13"/>
  <c r="O31" i="13"/>
  <c r="S31" i="13"/>
  <c r="I60" i="13"/>
  <c r="AB60" i="13" s="1"/>
  <c r="E66" i="13"/>
  <c r="J66" i="13" s="1"/>
  <c r="K66" i="13"/>
  <c r="T66" i="13" s="1"/>
  <c r="O34" i="13"/>
  <c r="R34" i="13"/>
  <c r="S34" i="13"/>
  <c r="U34" i="13"/>
  <c r="G63" i="13"/>
  <c r="AK31" i="13"/>
  <c r="AL31" i="13" s="1"/>
  <c r="K62" i="13"/>
  <c r="T62" i="13" s="1"/>
  <c r="S30" i="13"/>
  <c r="U30" i="13"/>
  <c r="R30" i="13"/>
  <c r="O30" i="13"/>
  <c r="G59" i="13"/>
  <c r="AK27" i="13"/>
  <c r="AL27" i="13" s="1"/>
  <c r="K58" i="13"/>
  <c r="T58" i="13" s="1"/>
  <c r="O26" i="13"/>
  <c r="R26" i="13"/>
  <c r="U26" i="13"/>
  <c r="S26" i="13"/>
  <c r="G60" i="13"/>
  <c r="AK60" i="13" s="1"/>
  <c r="AL60" i="13" s="1"/>
  <c r="AK28" i="13"/>
  <c r="AL28" i="13" s="1"/>
  <c r="K59" i="13"/>
  <c r="T59" i="13" s="1"/>
  <c r="U27" i="13"/>
  <c r="O27" i="13"/>
  <c r="S27" i="13"/>
  <c r="R27" i="13"/>
  <c r="G65" i="13"/>
  <c r="AK65" i="13" s="1"/>
  <c r="AL65" i="13" s="1"/>
  <c r="AK33" i="13"/>
  <c r="AL33" i="13" s="1"/>
  <c r="K64" i="13"/>
  <c r="T64" i="13" s="1"/>
  <c r="R32" i="13"/>
  <c r="U32" i="13"/>
  <c r="O32" i="13"/>
  <c r="S32" i="13"/>
  <c r="G61" i="13"/>
  <c r="AK29" i="13"/>
  <c r="AL29" i="13" s="1"/>
  <c r="K60" i="13"/>
  <c r="T60" i="13" s="1"/>
  <c r="U28" i="13"/>
  <c r="S28" i="13"/>
  <c r="R28" i="13"/>
  <c r="O28" i="13"/>
  <c r="G57" i="13"/>
  <c r="AK25" i="13"/>
  <c r="AL25" i="13" s="1"/>
  <c r="G56" i="13"/>
  <c r="J95" i="18"/>
  <c r="K129" i="18"/>
  <c r="L129" i="18" s="1"/>
  <c r="M129" i="18" s="1"/>
  <c r="N129" i="18" s="1"/>
  <c r="J136" i="18"/>
  <c r="K132" i="18"/>
  <c r="J127" i="18"/>
  <c r="J70" i="18"/>
  <c r="F173" i="24"/>
  <c r="I216" i="31"/>
  <c r="I105" i="31"/>
  <c r="I171" i="31"/>
  <c r="F204" i="24"/>
  <c r="F192" i="24"/>
  <c r="F188" i="24"/>
  <c r="F184" i="24"/>
  <c r="F180" i="24"/>
  <c r="F176" i="24"/>
  <c r="F205" i="24"/>
  <c r="F193" i="24"/>
  <c r="F189" i="24"/>
  <c r="F177" i="24"/>
  <c r="F248" i="24"/>
  <c r="F221" i="24"/>
  <c r="F200" i="24"/>
  <c r="F216" i="24"/>
  <c r="F168" i="24"/>
  <c r="F232" i="24"/>
  <c r="F220" i="24"/>
  <c r="F236" i="24"/>
  <c r="F208" i="24"/>
  <c r="F224" i="24"/>
  <c r="F240" i="24"/>
  <c r="F164" i="24"/>
  <c r="F196" i="24"/>
  <c r="F212" i="24"/>
  <c r="F228" i="24"/>
  <c r="F244" i="24"/>
  <c r="F257" i="24"/>
  <c r="F237" i="24"/>
  <c r="F252" i="24"/>
  <c r="F259" i="24"/>
  <c r="H165" i="31"/>
  <c r="H188" i="31"/>
  <c r="F209" i="24"/>
  <c r="F225" i="24"/>
  <c r="F241" i="24"/>
  <c r="H160" i="31"/>
  <c r="H203" i="31"/>
  <c r="H184" i="31"/>
  <c r="F251" i="24"/>
  <c r="F256" i="24"/>
  <c r="F261" i="24"/>
  <c r="F263" i="24"/>
  <c r="H199" i="31"/>
  <c r="H167" i="31"/>
  <c r="H128" i="31"/>
  <c r="F264" i="24"/>
  <c r="H215" i="31"/>
  <c r="H183" i="31"/>
  <c r="H177" i="31"/>
  <c r="F165" i="24"/>
  <c r="F181" i="24"/>
  <c r="F197" i="24"/>
  <c r="F213" i="24"/>
  <c r="F229" i="24"/>
  <c r="F245" i="24"/>
  <c r="H163" i="31"/>
  <c r="H161" i="31"/>
  <c r="F243" i="24"/>
  <c r="F235" i="24"/>
  <c r="F227" i="24"/>
  <c r="F223" i="24"/>
  <c r="F211" i="24"/>
  <c r="F207" i="24"/>
  <c r="F203" i="24"/>
  <c r="F199" i="24"/>
  <c r="F195" i="24"/>
  <c r="F187" i="24"/>
  <c r="F183" i="24"/>
  <c r="F179" i="24"/>
  <c r="F171" i="24"/>
  <c r="F167" i="24"/>
  <c r="F253" i="24"/>
  <c r="F258" i="24"/>
  <c r="F260" i="24"/>
  <c r="F254" i="24"/>
  <c r="H149" i="31"/>
  <c r="I197" i="31"/>
  <c r="H108" i="31"/>
  <c r="F169" i="24"/>
  <c r="F185" i="24"/>
  <c r="F201" i="24"/>
  <c r="F217" i="24"/>
  <c r="F233" i="24"/>
  <c r="F249" i="24"/>
  <c r="F242" i="24"/>
  <c r="F230" i="24"/>
  <c r="F218" i="24"/>
  <c r="F174" i="24"/>
  <c r="F166" i="24"/>
  <c r="F250" i="24"/>
  <c r="F255" i="24"/>
  <c r="F262" i="24"/>
  <c r="I122" i="29"/>
  <c r="J122" i="29" s="1"/>
  <c r="J150" i="29"/>
  <c r="K150" i="29" s="1"/>
  <c r="I138" i="29"/>
  <c r="J138" i="29" s="1"/>
  <c r="I146" i="29"/>
  <c r="I118" i="29"/>
  <c r="I112" i="29"/>
  <c r="I134" i="29"/>
  <c r="I142" i="29"/>
  <c r="J142" i="29" s="1"/>
  <c r="I101" i="29"/>
  <c r="J101" i="29" s="1"/>
  <c r="I104" i="29"/>
  <c r="I130" i="29"/>
  <c r="I126" i="29"/>
  <c r="I74" i="29"/>
  <c r="J74" i="29" s="1"/>
  <c r="I148" i="18"/>
  <c r="I222" i="18" s="1"/>
  <c r="K148" i="35"/>
  <c r="H34" i="38" s="1"/>
  <c r="I112" i="31"/>
  <c r="I113" i="31"/>
  <c r="M18" i="36"/>
  <c r="H103" i="31"/>
  <c r="E22" i="22"/>
  <c r="G52" i="13"/>
  <c r="AK20" i="13"/>
  <c r="AL20" i="13" s="1"/>
  <c r="K51" i="13"/>
  <c r="T51" i="13" s="1"/>
  <c r="O19" i="13"/>
  <c r="G53" i="13"/>
  <c r="AK21" i="13"/>
  <c r="AL21" i="13" s="1"/>
  <c r="K52" i="13"/>
  <c r="T52" i="13" s="1"/>
  <c r="R20" i="13"/>
  <c r="U20" i="13"/>
  <c r="O20" i="13"/>
  <c r="S20" i="13"/>
  <c r="G49" i="13"/>
  <c r="AK49" i="13" s="1"/>
  <c r="AL49" i="13" s="1"/>
  <c r="AK17" i="13"/>
  <c r="AL17" i="13" s="1"/>
  <c r="K48" i="13"/>
  <c r="T48" i="13" s="1"/>
  <c r="O16" i="13"/>
  <c r="K55" i="13"/>
  <c r="T55" i="13" s="1"/>
  <c r="O23" i="13"/>
  <c r="G48" i="13"/>
  <c r="AK16" i="13"/>
  <c r="AL16" i="13" s="1"/>
  <c r="G54" i="13"/>
  <c r="AK22" i="13"/>
  <c r="AL22" i="13" s="1"/>
  <c r="K53" i="13"/>
  <c r="T53" i="13" s="1"/>
  <c r="O21" i="13"/>
  <c r="G50" i="13"/>
  <c r="AK50" i="13" s="1"/>
  <c r="AL50" i="13" s="1"/>
  <c r="AK18" i="13"/>
  <c r="AL18" i="13" s="1"/>
  <c r="K49" i="13"/>
  <c r="T49" i="13" s="1"/>
  <c r="O17" i="13"/>
  <c r="G55" i="13"/>
  <c r="AK23" i="13"/>
  <c r="AL23" i="13" s="1"/>
  <c r="K54" i="13"/>
  <c r="T54" i="13" s="1"/>
  <c r="O22" i="13"/>
  <c r="G51" i="13"/>
  <c r="AK51" i="13" s="1"/>
  <c r="AL51" i="13" s="1"/>
  <c r="AK19" i="13"/>
  <c r="AL19" i="13" s="1"/>
  <c r="K50" i="13"/>
  <c r="T50" i="13" s="1"/>
  <c r="O18" i="13"/>
  <c r="I78" i="29"/>
  <c r="J78" i="29" s="1"/>
  <c r="K78" i="29" s="1"/>
  <c r="I100" i="29"/>
  <c r="I108" i="29"/>
  <c r="I116" i="29"/>
  <c r="I105" i="29"/>
  <c r="J105" i="29" s="1"/>
  <c r="I153" i="29"/>
  <c r="I86" i="29"/>
  <c r="I154" i="29"/>
  <c r="I95" i="29"/>
  <c r="I87" i="29"/>
  <c r="I79" i="29"/>
  <c r="I113" i="29"/>
  <c r="J113" i="29" s="1"/>
  <c r="I71" i="29"/>
  <c r="J71" i="29" s="1"/>
  <c r="I66" i="29"/>
  <c r="J66" i="29" s="1"/>
  <c r="I117" i="29"/>
  <c r="I125" i="29"/>
  <c r="J125" i="29" s="1"/>
  <c r="I129" i="29"/>
  <c r="I133" i="29"/>
  <c r="I141" i="29"/>
  <c r="I149" i="29"/>
  <c r="I90" i="29"/>
  <c r="I69" i="29"/>
  <c r="I65" i="29"/>
  <c r="J65" i="29" s="1"/>
  <c r="I97" i="29"/>
  <c r="J97" i="29" s="1"/>
  <c r="J82" i="29"/>
  <c r="I91" i="29"/>
  <c r="J91" i="29" s="1"/>
  <c r="I83" i="29"/>
  <c r="I75" i="29"/>
  <c r="I96" i="29"/>
  <c r="J96" i="29" s="1"/>
  <c r="I88" i="29"/>
  <c r="J88" i="29" s="1"/>
  <c r="I109" i="29"/>
  <c r="I72" i="29"/>
  <c r="J72" i="29" s="1"/>
  <c r="J134" i="29"/>
  <c r="I119" i="29"/>
  <c r="I123" i="29"/>
  <c r="I127" i="29"/>
  <c r="I131" i="29"/>
  <c r="I135" i="29"/>
  <c r="I139" i="29"/>
  <c r="I143" i="29"/>
  <c r="I147" i="29"/>
  <c r="I151" i="29"/>
  <c r="J86" i="29"/>
  <c r="J108" i="29"/>
  <c r="I89" i="29"/>
  <c r="I106" i="29"/>
  <c r="I114" i="29"/>
  <c r="I94" i="29"/>
  <c r="I103" i="29"/>
  <c r="J103" i="29" s="1"/>
  <c r="I111" i="29"/>
  <c r="I73" i="29"/>
  <c r="I67" i="29"/>
  <c r="J67" i="29" s="1"/>
  <c r="I152" i="29"/>
  <c r="I99" i="29"/>
  <c r="I121" i="29"/>
  <c r="I92" i="29"/>
  <c r="I145" i="29"/>
  <c r="I137" i="29"/>
  <c r="Q8" i="36"/>
  <c r="Q51" i="36" s="1"/>
  <c r="AG16" i="43"/>
  <c r="AH16" i="43" s="1"/>
  <c r="AI16" i="43" s="1"/>
  <c r="AJ16" i="43" s="1"/>
  <c r="I88" i="53"/>
  <c r="J32" i="53"/>
  <c r="I84" i="53"/>
  <c r="I100" i="53"/>
  <c r="G100" i="43" s="1"/>
  <c r="I52" i="53"/>
  <c r="I116" i="53"/>
  <c r="G116" i="43" s="1"/>
  <c r="I96" i="53"/>
  <c r="G96" i="43" s="1"/>
  <c r="I132" i="53"/>
  <c r="G132" i="43" s="1"/>
  <c r="I93" i="53"/>
  <c r="J109" i="53"/>
  <c r="H109" i="43" s="1"/>
  <c r="I89" i="53"/>
  <c r="G89" i="43" s="1"/>
  <c r="I33" i="53"/>
  <c r="J128" i="53"/>
  <c r="H128" i="43" s="1"/>
  <c r="J129" i="53"/>
  <c r="H129" i="43" s="1"/>
  <c r="I112" i="53"/>
  <c r="G112" i="43" s="1"/>
  <c r="J40" i="53"/>
  <c r="I120" i="53"/>
  <c r="G120" i="43" s="1"/>
  <c r="I105" i="53"/>
  <c r="J25" i="53"/>
  <c r="I80" i="53"/>
  <c r="G80" i="43" s="1"/>
  <c r="I77" i="53"/>
  <c r="G77" i="43" s="1"/>
  <c r="J133" i="53"/>
  <c r="J92" i="53"/>
  <c r="H92" i="43" s="1"/>
  <c r="J45" i="53"/>
  <c r="J61" i="53"/>
  <c r="I73" i="53"/>
  <c r="I53" i="53"/>
  <c r="I68" i="53"/>
  <c r="I136" i="53"/>
  <c r="I113" i="53"/>
  <c r="I85" i="53"/>
  <c r="J29" i="53"/>
  <c r="H29" i="43" s="1"/>
  <c r="I119" i="53"/>
  <c r="I107" i="53"/>
  <c r="I121" i="53"/>
  <c r="G121" i="43" s="1"/>
  <c r="I64" i="53"/>
  <c r="J56" i="53"/>
  <c r="H56" i="43" s="1"/>
  <c r="I48" i="53"/>
  <c r="G48" i="43" s="1"/>
  <c r="I16" i="53"/>
  <c r="G16" i="43" s="1"/>
  <c r="I36" i="53"/>
  <c r="I97" i="53"/>
  <c r="I108" i="53"/>
  <c r="J57" i="53"/>
  <c r="H57" i="43" s="1"/>
  <c r="J41" i="53"/>
  <c r="H41" i="43" s="1"/>
  <c r="J106" i="53"/>
  <c r="H106" i="43" s="1"/>
  <c r="I42" i="53"/>
  <c r="I28" i="53"/>
  <c r="J76" i="53"/>
  <c r="H76" i="43" s="1"/>
  <c r="J24" i="53"/>
  <c r="H24" i="43" s="1"/>
  <c r="J72" i="53"/>
  <c r="H72" i="43" s="1"/>
  <c r="I101" i="53"/>
  <c r="I71" i="53"/>
  <c r="I81" i="53"/>
  <c r="G81" i="43" s="1"/>
  <c r="I137" i="53"/>
  <c r="I31" i="53"/>
  <c r="AN141" i="53"/>
  <c r="AN12" i="53" s="1"/>
  <c r="I109" i="31"/>
  <c r="H148" i="31"/>
  <c r="I217" i="31"/>
  <c r="H180" i="31"/>
  <c r="H168" i="31"/>
  <c r="H212" i="31"/>
  <c r="H116" i="31"/>
  <c r="H175" i="31"/>
  <c r="I191" i="31"/>
  <c r="H201" i="31"/>
  <c r="H209" i="31"/>
  <c r="I115" i="31"/>
  <c r="J133" i="29"/>
  <c r="J141" i="29"/>
  <c r="J85" i="29"/>
  <c r="F175" i="24"/>
  <c r="F191" i="24"/>
  <c r="F239" i="24"/>
  <c r="F215" i="24"/>
  <c r="F231" i="24"/>
  <c r="F247" i="24"/>
  <c r="F163" i="24"/>
  <c r="F219" i="24"/>
  <c r="H169" i="31"/>
  <c r="F246" i="24"/>
  <c r="F238" i="24"/>
  <c r="F234" i="24"/>
  <c r="F226" i="24"/>
  <c r="F222" i="24"/>
  <c r="F214" i="24"/>
  <c r="F210" i="24"/>
  <c r="F206" i="24"/>
  <c r="F202" i="24"/>
  <c r="F198" i="24"/>
  <c r="F194" i="24"/>
  <c r="F190" i="24"/>
  <c r="F186" i="24"/>
  <c r="F182" i="24"/>
  <c r="F178" i="24"/>
  <c r="F170" i="24"/>
  <c r="I172" i="31"/>
  <c r="H207" i="31"/>
  <c r="H193" i="31"/>
  <c r="H200" i="31"/>
  <c r="H107" i="31"/>
  <c r="H147" i="31"/>
  <c r="H237" i="31"/>
  <c r="H127" i="31"/>
  <c r="H164" i="31"/>
  <c r="H185" i="31"/>
  <c r="H181" i="31"/>
  <c r="H187" i="31"/>
  <c r="J216" i="31"/>
  <c r="H196" i="31"/>
  <c r="I204" i="31"/>
  <c r="H213" i="31"/>
  <c r="H224" i="31"/>
  <c r="H231" i="31"/>
  <c r="G47" i="13"/>
  <c r="F42" i="37"/>
  <c r="G15" i="37" s="1"/>
  <c r="G42" i="37" s="1"/>
  <c r="H15" i="37" s="1"/>
  <c r="H42" i="37" s="1"/>
  <c r="I15" i="37" s="1"/>
  <c r="I42" i="37" s="1"/>
  <c r="J15" i="37" s="1"/>
  <c r="J42" i="37" s="1"/>
  <c r="K15" i="37" s="1"/>
  <c r="K42" i="37" s="1"/>
  <c r="L15" i="37" s="1"/>
  <c r="L42" i="37" s="1"/>
  <c r="M15" i="37" s="1"/>
  <c r="M42" i="37" s="1"/>
  <c r="H61" i="39"/>
  <c r="AJ48" i="13"/>
  <c r="AJ30" i="13"/>
  <c r="AJ55" i="13"/>
  <c r="AJ31" i="13"/>
  <c r="AJ27" i="13"/>
  <c r="AJ21" i="13"/>
  <c r="AJ17" i="13"/>
  <c r="AJ53" i="13"/>
  <c r="AJ34" i="13"/>
  <c r="AJ16" i="13"/>
  <c r="I59" i="13"/>
  <c r="AB59" i="13" s="1"/>
  <c r="I49" i="13"/>
  <c r="AJ32" i="13"/>
  <c r="AJ28" i="13"/>
  <c r="AJ22" i="13"/>
  <c r="AJ18" i="13"/>
  <c r="AJ26" i="13"/>
  <c r="AJ20" i="13"/>
  <c r="I63" i="13"/>
  <c r="AB63" i="13" s="1"/>
  <c r="I52" i="13"/>
  <c r="AB52" i="13" s="1"/>
  <c r="AJ64" i="13"/>
  <c r="AJ33" i="13"/>
  <c r="AJ29" i="13"/>
  <c r="AJ25" i="13"/>
  <c r="AJ24" i="13"/>
  <c r="AJ23" i="13"/>
  <c r="AJ19" i="13"/>
  <c r="E47" i="13"/>
  <c r="J87" i="29"/>
  <c r="H158" i="29"/>
  <c r="H54" i="29" s="1"/>
  <c r="I107" i="29"/>
  <c r="I120" i="29"/>
  <c r="I132" i="29"/>
  <c r="I144" i="29"/>
  <c r="I155" i="29"/>
  <c r="I110" i="29"/>
  <c r="I128" i="29"/>
  <c r="I136" i="29"/>
  <c r="I148" i="29"/>
  <c r="J77" i="29"/>
  <c r="I98" i="29"/>
  <c r="I84" i="29"/>
  <c r="I80" i="29"/>
  <c r="I76" i="29"/>
  <c r="I68" i="29"/>
  <c r="I115" i="29"/>
  <c r="I124" i="29"/>
  <c r="I140" i="29"/>
  <c r="J81" i="29"/>
  <c r="I102" i="29"/>
  <c r="I70" i="29"/>
  <c r="J130" i="29"/>
  <c r="O52" i="29"/>
  <c r="O11" i="29" s="1"/>
  <c r="H122" i="18" s="1"/>
  <c r="I47" i="13"/>
  <c r="AJ15" i="13"/>
  <c r="K47" i="13"/>
  <c r="O15" i="13"/>
  <c r="I65" i="13"/>
  <c r="AB65" i="13" s="1"/>
  <c r="I56" i="13"/>
  <c r="AB56" i="13" s="1"/>
  <c r="E52" i="13"/>
  <c r="J52" i="13" s="1"/>
  <c r="E83" i="13"/>
  <c r="J83" i="13" s="1"/>
  <c r="I54" i="13"/>
  <c r="AB54" i="13" s="1"/>
  <c r="E54" i="13"/>
  <c r="E65" i="13"/>
  <c r="J65" i="13" s="1"/>
  <c r="I85" i="13"/>
  <c r="AB85" i="13" s="1"/>
  <c r="I51" i="13"/>
  <c r="AB51" i="13" s="1"/>
  <c r="E50" i="13"/>
  <c r="J50" i="13" s="1"/>
  <c r="I50" i="13"/>
  <c r="AB50" i="13" s="1"/>
  <c r="E61" i="13"/>
  <c r="J61" i="13" s="1"/>
  <c r="H220" i="31"/>
  <c r="H225" i="31"/>
  <c r="H236" i="31"/>
  <c r="I58" i="13"/>
  <c r="AB58" i="13" s="1"/>
  <c r="E58" i="13"/>
  <c r="J58" i="13" s="1"/>
  <c r="J20" i="53"/>
  <c r="H20" i="43" s="1"/>
  <c r="J21" i="53"/>
  <c r="H21" i="43" s="1"/>
  <c r="I62" i="13"/>
  <c r="AB62" i="13" s="1"/>
  <c r="E48" i="13"/>
  <c r="E80" i="13" s="1"/>
  <c r="J80" i="13" s="1"/>
  <c r="J124" i="53"/>
  <c r="H124" i="43" s="1"/>
  <c r="I80" i="13"/>
  <c r="AB80" i="13" s="1"/>
  <c r="I87" i="13"/>
  <c r="AB87" i="13" s="1"/>
  <c r="J117" i="53"/>
  <c r="H117" i="43" s="1"/>
  <c r="J110" i="53"/>
  <c r="H110" i="43" s="1"/>
  <c r="J60" i="53"/>
  <c r="H60" i="43" s="1"/>
  <c r="J44" i="53"/>
  <c r="H44" i="43" s="1"/>
  <c r="I125" i="53"/>
  <c r="G125" i="43" s="1"/>
  <c r="I103" i="53"/>
  <c r="G103" i="43" s="1"/>
  <c r="I95" i="53"/>
  <c r="G95" i="43" s="1"/>
  <c r="I69" i="53"/>
  <c r="G69" i="43" s="1"/>
  <c r="I37" i="53"/>
  <c r="G37" i="43" s="1"/>
  <c r="I93" i="29"/>
  <c r="AO15" i="53"/>
  <c r="I156" i="29"/>
  <c r="F41" i="37"/>
  <c r="G14" i="37" s="1"/>
  <c r="G41" i="37" s="1"/>
  <c r="H14" i="37" s="1"/>
  <c r="H41" i="37" s="1"/>
  <c r="I33" i="39"/>
  <c r="J33" i="39" s="1"/>
  <c r="K33" i="39" s="1"/>
  <c r="L33" i="39" s="1"/>
  <c r="M33" i="39" s="1"/>
  <c r="M15" i="36"/>
  <c r="H19" i="48"/>
  <c r="K83" i="35"/>
  <c r="M60" i="35"/>
  <c r="N60" i="35" s="1"/>
  <c r="L63" i="35"/>
  <c r="K127" i="35"/>
  <c r="F31" i="49"/>
  <c r="L55" i="35"/>
  <c r="M55" i="35" s="1"/>
  <c r="N55" i="35" s="1"/>
  <c r="K56" i="35"/>
  <c r="K26" i="35"/>
  <c r="L22" i="35"/>
  <c r="K63" i="35"/>
  <c r="E57" i="13"/>
  <c r="J57" i="13" s="1"/>
  <c r="E53" i="13"/>
  <c r="I92" i="18"/>
  <c r="I68" i="18"/>
  <c r="J68" i="18" s="1"/>
  <c r="H73" i="18"/>
  <c r="J45" i="18"/>
  <c r="K45" i="18" s="1"/>
  <c r="L45" i="18" s="1"/>
  <c r="M45" i="18" s="1"/>
  <c r="N45" i="18" s="1"/>
  <c r="I47" i="18"/>
  <c r="H97" i="18"/>
  <c r="K46" i="18"/>
  <c r="L46" i="18" s="1"/>
  <c r="M46" i="18" s="1"/>
  <c r="N46" i="18" s="1"/>
  <c r="I61" i="18"/>
  <c r="H64" i="18"/>
  <c r="I96" i="13"/>
  <c r="AB96" i="13" s="1"/>
  <c r="K65" i="13"/>
  <c r="T65" i="13" s="1"/>
  <c r="K35" i="13"/>
  <c r="F121" i="49" s="1"/>
  <c r="G62" i="13"/>
  <c r="AK62" i="13" s="1"/>
  <c r="AL62" i="13" s="1"/>
  <c r="E63" i="13"/>
  <c r="J63" i="13" s="1"/>
  <c r="E64" i="13"/>
  <c r="J64" i="13" s="1"/>
  <c r="I61" i="13"/>
  <c r="AB61" i="13" s="1"/>
  <c r="E59" i="13"/>
  <c r="J59" i="13" s="1"/>
  <c r="E56" i="13"/>
  <c r="J56" i="13" s="1"/>
  <c r="E49" i="13"/>
  <c r="J49" i="13" s="1"/>
  <c r="E60" i="13"/>
  <c r="J60" i="13" s="1"/>
  <c r="I57" i="13"/>
  <c r="AB57" i="13" s="1"/>
  <c r="E55" i="13"/>
  <c r="J55" i="13" s="1"/>
  <c r="O53" i="29"/>
  <c r="O158" i="29"/>
  <c r="O54" i="29" s="1"/>
  <c r="G98" i="13" l="1"/>
  <c r="AK98" i="13" s="1"/>
  <c r="AL98" i="13" s="1"/>
  <c r="J115" i="49"/>
  <c r="K115" i="49"/>
  <c r="L115" i="49"/>
  <c r="I115" i="49"/>
  <c r="H115" i="49"/>
  <c r="I236" i="18"/>
  <c r="J47" i="13"/>
  <c r="AB47" i="13" s="1"/>
  <c r="T47" i="13" s="1"/>
  <c r="N47" i="18"/>
  <c r="I260" i="18"/>
  <c r="N125" i="43"/>
  <c r="Z125" i="43"/>
  <c r="O72" i="43"/>
  <c r="AA72" i="43"/>
  <c r="N48" i="43"/>
  <c r="Z48" i="43"/>
  <c r="Q113" i="53"/>
  <c r="G113" i="43"/>
  <c r="Q105" i="53"/>
  <c r="G105" i="43"/>
  <c r="O109" i="43"/>
  <c r="AA109" i="43"/>
  <c r="H32" i="43"/>
  <c r="O104" i="43"/>
  <c r="AA104" i="43"/>
  <c r="Z104" i="43"/>
  <c r="N104" i="43"/>
  <c r="N49" i="43"/>
  <c r="Z49" i="43"/>
  <c r="N69" i="43"/>
  <c r="Z69" i="43"/>
  <c r="N81" i="43"/>
  <c r="Z81" i="43"/>
  <c r="O106" i="43"/>
  <c r="AA106" i="43"/>
  <c r="O56" i="43"/>
  <c r="AA56" i="43"/>
  <c r="Q136" i="53"/>
  <c r="G136" i="43"/>
  <c r="N77" i="43"/>
  <c r="Z77" i="43"/>
  <c r="AA128" i="43"/>
  <c r="O128" i="43"/>
  <c r="Q52" i="53"/>
  <c r="G52" i="43"/>
  <c r="N95" i="43"/>
  <c r="Z95" i="43"/>
  <c r="O60" i="43"/>
  <c r="AA60" i="43"/>
  <c r="O21" i="43"/>
  <c r="AA21" i="43"/>
  <c r="Q71" i="53"/>
  <c r="G71" i="43"/>
  <c r="O76" i="43"/>
  <c r="AA76" i="43"/>
  <c r="O41" i="43"/>
  <c r="AA41" i="43"/>
  <c r="Q36" i="53"/>
  <c r="G36" i="43"/>
  <c r="Q64" i="53"/>
  <c r="G64" i="43"/>
  <c r="O29" i="43"/>
  <c r="AA29" i="43"/>
  <c r="Q68" i="53"/>
  <c r="G68" i="43"/>
  <c r="H45" i="43"/>
  <c r="N80" i="43"/>
  <c r="Z80" i="43"/>
  <c r="H40" i="43"/>
  <c r="Q33" i="53"/>
  <c r="G33" i="43"/>
  <c r="Z132" i="43"/>
  <c r="N132" i="43"/>
  <c r="N100" i="43"/>
  <c r="Z100" i="43"/>
  <c r="H17" i="43"/>
  <c r="O49" i="43"/>
  <c r="AA49" i="43"/>
  <c r="N37" i="43"/>
  <c r="Z37" i="43"/>
  <c r="O117" i="43"/>
  <c r="AA117" i="43"/>
  <c r="Q137" i="53"/>
  <c r="G137" i="43"/>
  <c r="Q42" i="53"/>
  <c r="G42" i="43"/>
  <c r="Q108" i="53"/>
  <c r="G108" i="43"/>
  <c r="Q107" i="53"/>
  <c r="G107" i="43"/>
  <c r="Q73" i="53"/>
  <c r="G73" i="43"/>
  <c r="H133" i="43"/>
  <c r="O129" i="43"/>
  <c r="AA129" i="43"/>
  <c r="N116" i="43"/>
  <c r="Z116" i="43"/>
  <c r="H65" i="43"/>
  <c r="N65" i="43"/>
  <c r="Z65" i="43"/>
  <c r="N17" i="43"/>
  <c r="Z17" i="43"/>
  <c r="AA44" i="43"/>
  <c r="O44" i="43"/>
  <c r="O24" i="43"/>
  <c r="AA24" i="43"/>
  <c r="Q97" i="53"/>
  <c r="G97" i="43"/>
  <c r="Q119" i="53"/>
  <c r="G119" i="43"/>
  <c r="H61" i="43"/>
  <c r="N120" i="43"/>
  <c r="Z120" i="43"/>
  <c r="Q93" i="53"/>
  <c r="G93" i="43"/>
  <c r="Q88" i="53"/>
  <c r="G88" i="43"/>
  <c r="N103" i="43"/>
  <c r="Z103" i="43"/>
  <c r="O110" i="43"/>
  <c r="AA110" i="43"/>
  <c r="O124" i="43"/>
  <c r="AA124" i="43"/>
  <c r="O20" i="43"/>
  <c r="AA20" i="43"/>
  <c r="Q31" i="53"/>
  <c r="G31" i="43"/>
  <c r="Q101" i="53"/>
  <c r="G101" i="43"/>
  <c r="Q28" i="53"/>
  <c r="G28" i="43"/>
  <c r="O57" i="43"/>
  <c r="AA57" i="43"/>
  <c r="N16" i="43"/>
  <c r="Z16" i="43"/>
  <c r="N121" i="43"/>
  <c r="Z121" i="43"/>
  <c r="Q85" i="53"/>
  <c r="G85" i="43"/>
  <c r="Q53" i="53"/>
  <c r="G53" i="43"/>
  <c r="O92" i="43"/>
  <c r="AA92" i="43"/>
  <c r="H25" i="43"/>
  <c r="N112" i="43"/>
  <c r="Z112" i="43"/>
  <c r="N89" i="43"/>
  <c r="Z89" i="43"/>
  <c r="N96" i="43"/>
  <c r="Z96" i="43"/>
  <c r="Q84" i="53"/>
  <c r="G84" i="43"/>
  <c r="AG37" i="53"/>
  <c r="Q37" i="53"/>
  <c r="AH117" i="53"/>
  <c r="AG16" i="53"/>
  <c r="Q16" i="53"/>
  <c r="AG89" i="53"/>
  <c r="Q89" i="53"/>
  <c r="AG96" i="53"/>
  <c r="Q96" i="53"/>
  <c r="AH44" i="53"/>
  <c r="AH72" i="53"/>
  <c r="AG48" i="53"/>
  <c r="Q48" i="53"/>
  <c r="AG95" i="53"/>
  <c r="Q95" i="53"/>
  <c r="AH60" i="53"/>
  <c r="AH21" i="53"/>
  <c r="AG81" i="53"/>
  <c r="Q81" i="53"/>
  <c r="AH24" i="53"/>
  <c r="AH106" i="53"/>
  <c r="AH56" i="53"/>
  <c r="AG77" i="53"/>
  <c r="Q77" i="53"/>
  <c r="AG120" i="53"/>
  <c r="Q120" i="53"/>
  <c r="AH128" i="53"/>
  <c r="AH49" i="53"/>
  <c r="AG125" i="53"/>
  <c r="Q125" i="53"/>
  <c r="AH57" i="53"/>
  <c r="AG121" i="53"/>
  <c r="Q121" i="53"/>
  <c r="AH92" i="53"/>
  <c r="AG112" i="53"/>
  <c r="Q112" i="53"/>
  <c r="AH104" i="53"/>
  <c r="AG69" i="53"/>
  <c r="Q69" i="53"/>
  <c r="AH129" i="53"/>
  <c r="AH109" i="53"/>
  <c r="AG116" i="53"/>
  <c r="Q116" i="53"/>
  <c r="AG103" i="53"/>
  <c r="Q103" i="53"/>
  <c r="AH110" i="53"/>
  <c r="AH124" i="53"/>
  <c r="AH20" i="53"/>
  <c r="AH76" i="53"/>
  <c r="AH41" i="53"/>
  <c r="AH29" i="53"/>
  <c r="AG80" i="53"/>
  <c r="Q80" i="53"/>
  <c r="AG132" i="53"/>
  <c r="Q132" i="53"/>
  <c r="AG100" i="53"/>
  <c r="Q100" i="53"/>
  <c r="J96" i="53"/>
  <c r="H96" i="43" s="1"/>
  <c r="J80" i="53"/>
  <c r="H80" i="43" s="1"/>
  <c r="AG36" i="53"/>
  <c r="AG31" i="53"/>
  <c r="K104" i="53"/>
  <c r="I104" i="43" s="1"/>
  <c r="K32" i="53"/>
  <c r="AH32" i="53"/>
  <c r="J33" i="53"/>
  <c r="H33" i="43" s="1"/>
  <c r="AG33" i="53"/>
  <c r="I150" i="24"/>
  <c r="I15" i="24" s="1"/>
  <c r="I17" i="24" s="1"/>
  <c r="K89" i="13"/>
  <c r="T89" i="13" s="1"/>
  <c r="G82" i="13"/>
  <c r="AK82" i="13" s="1"/>
  <c r="AL82" i="13" s="1"/>
  <c r="I98" i="13"/>
  <c r="AB98" i="13" s="1"/>
  <c r="AJ66" i="13"/>
  <c r="K87" i="13"/>
  <c r="T87" i="13" s="1"/>
  <c r="K79" i="13"/>
  <c r="O79" i="13" s="1"/>
  <c r="I81" i="13"/>
  <c r="AB81" i="13" s="1"/>
  <c r="AB49" i="13"/>
  <c r="J171" i="31"/>
  <c r="K171" i="31" s="1"/>
  <c r="J105" i="31"/>
  <c r="J77" i="53"/>
  <c r="H77" i="43" s="1"/>
  <c r="AG137" i="53"/>
  <c r="O41" i="36"/>
  <c r="Q36" i="36"/>
  <c r="K49" i="53"/>
  <c r="I49" i="43" s="1"/>
  <c r="J116" i="53"/>
  <c r="H116" i="43" s="1"/>
  <c r="J93" i="53"/>
  <c r="H93" i="43" s="1"/>
  <c r="AG93" i="53"/>
  <c r="AG28" i="53"/>
  <c r="J68" i="53"/>
  <c r="H68" i="43" s="1"/>
  <c r="AG68" i="53"/>
  <c r="K61" i="53"/>
  <c r="I61" i="43" s="1"/>
  <c r="AH61" i="53"/>
  <c r="K133" i="53"/>
  <c r="I133" i="43" s="1"/>
  <c r="AH133" i="53"/>
  <c r="J84" i="53"/>
  <c r="H84" i="43" s="1"/>
  <c r="AG84" i="53"/>
  <c r="AH17" i="53"/>
  <c r="K17" i="53"/>
  <c r="AG97" i="53"/>
  <c r="AG119" i="53"/>
  <c r="J73" i="53"/>
  <c r="H73" i="43" s="1"/>
  <c r="AG73" i="53"/>
  <c r="J105" i="53"/>
  <c r="H105" i="43" s="1"/>
  <c r="AG105" i="53"/>
  <c r="AG42" i="53"/>
  <c r="AG85" i="53"/>
  <c r="K45" i="53"/>
  <c r="I45" i="43" s="1"/>
  <c r="AH45" i="53"/>
  <c r="K25" i="53"/>
  <c r="AH25" i="53"/>
  <c r="AG101" i="53"/>
  <c r="AG136" i="53"/>
  <c r="AG71" i="53"/>
  <c r="AG108" i="53"/>
  <c r="J64" i="53"/>
  <c r="H64" i="43" s="1"/>
  <c r="AG64" i="53"/>
  <c r="AG107" i="53"/>
  <c r="J113" i="53"/>
  <c r="H113" i="43" s="1"/>
  <c r="AG113" i="53"/>
  <c r="AG53" i="53"/>
  <c r="K40" i="53"/>
  <c r="AH40" i="53"/>
  <c r="J52" i="53"/>
  <c r="H52" i="43" s="1"/>
  <c r="AG52" i="53"/>
  <c r="J88" i="53"/>
  <c r="AG88" i="53"/>
  <c r="K65" i="53"/>
  <c r="AH65" i="53"/>
  <c r="Q62" i="29"/>
  <c r="Q66" i="29"/>
  <c r="Q70" i="29"/>
  <c r="Q74" i="29"/>
  <c r="Q78" i="29"/>
  <c r="Q82" i="29"/>
  <c r="Q86" i="29"/>
  <c r="Q90" i="29"/>
  <c r="Q94" i="29"/>
  <c r="Q63" i="29"/>
  <c r="Q67" i="29"/>
  <c r="Q71" i="29"/>
  <c r="Q75" i="29"/>
  <c r="Q79" i="29"/>
  <c r="Q83" i="29"/>
  <c r="Q87" i="29"/>
  <c r="Q91" i="29"/>
  <c r="Q95" i="29"/>
  <c r="Q99" i="29"/>
  <c r="Q103" i="29"/>
  <c r="Q107" i="29"/>
  <c r="Q60" i="29"/>
  <c r="Q64" i="29"/>
  <c r="Q68" i="29"/>
  <c r="Q72" i="29"/>
  <c r="Q76" i="29"/>
  <c r="Q80" i="29"/>
  <c r="Q84" i="29"/>
  <c r="Q88" i="29"/>
  <c r="Q92" i="29"/>
  <c r="Q96" i="29"/>
  <c r="Q100" i="29"/>
  <c r="Q104" i="29"/>
  <c r="Q108" i="29"/>
  <c r="Q112" i="29"/>
  <c r="Q116" i="29"/>
  <c r="Q120" i="29"/>
  <c r="Q124" i="29"/>
  <c r="Q128" i="29"/>
  <c r="Q132" i="29"/>
  <c r="Q136" i="29"/>
  <c r="Q140" i="29"/>
  <c r="Q144" i="29"/>
  <c r="Q148" i="29"/>
  <c r="Q152" i="29"/>
  <c r="Q156" i="29"/>
  <c r="Q69" i="29"/>
  <c r="Q85" i="29"/>
  <c r="Q101" i="29"/>
  <c r="Q102" i="29"/>
  <c r="Q109" i="29"/>
  <c r="Q122" i="29"/>
  <c r="Q123" i="29"/>
  <c r="Q125" i="29"/>
  <c r="Q138" i="29"/>
  <c r="Q139" i="29"/>
  <c r="Q141" i="29"/>
  <c r="Q154" i="29"/>
  <c r="Q155" i="29"/>
  <c r="Q59" i="29"/>
  <c r="Q57" i="29"/>
  <c r="Q58" i="29"/>
  <c r="Q65" i="29"/>
  <c r="Q81" i="29"/>
  <c r="Q110" i="29"/>
  <c r="Q111" i="29"/>
  <c r="Q113" i="29"/>
  <c r="Q126" i="29"/>
  <c r="Q127" i="29"/>
  <c r="Q129" i="29"/>
  <c r="Q142" i="29"/>
  <c r="Q143" i="29"/>
  <c r="Q145" i="29"/>
  <c r="Q61" i="29"/>
  <c r="Q77" i="29"/>
  <c r="Q93" i="29"/>
  <c r="Q97" i="29"/>
  <c r="Q98" i="29"/>
  <c r="Q105" i="29"/>
  <c r="Q106" i="29"/>
  <c r="Q114" i="29"/>
  <c r="Q115" i="29"/>
  <c r="Q117" i="29"/>
  <c r="Q130" i="29"/>
  <c r="Q131" i="29"/>
  <c r="Q133" i="29"/>
  <c r="Q146" i="29"/>
  <c r="Q147" i="29"/>
  <c r="Q149" i="29"/>
  <c r="Q73" i="29"/>
  <c r="Q89" i="29"/>
  <c r="Q118" i="29"/>
  <c r="Q119" i="29"/>
  <c r="Q121" i="29"/>
  <c r="Q134" i="29"/>
  <c r="Q135" i="29"/>
  <c r="Q137" i="29"/>
  <c r="Q150" i="29"/>
  <c r="Q151" i="29"/>
  <c r="Q153" i="29"/>
  <c r="Z59" i="29"/>
  <c r="Z63" i="29"/>
  <c r="Z67" i="29"/>
  <c r="Z71" i="29"/>
  <c r="Z75" i="29"/>
  <c r="Z79" i="29"/>
  <c r="Z83" i="29"/>
  <c r="Z87" i="29"/>
  <c r="Z91" i="29"/>
  <c r="Z95" i="29"/>
  <c r="Z99" i="29"/>
  <c r="Z103" i="29"/>
  <c r="Z107" i="29"/>
  <c r="Z111" i="29"/>
  <c r="Z115" i="29"/>
  <c r="Z119" i="29"/>
  <c r="Z123" i="29"/>
  <c r="Z127" i="29"/>
  <c r="Z131" i="29"/>
  <c r="Z135" i="29"/>
  <c r="Z139" i="29"/>
  <c r="Z60" i="29"/>
  <c r="Z64" i="29"/>
  <c r="Z68" i="29"/>
  <c r="Z72" i="29"/>
  <c r="Z76" i="29"/>
  <c r="Z80" i="29"/>
  <c r="Z84" i="29"/>
  <c r="Z88" i="29"/>
  <c r="Z92" i="29"/>
  <c r="Z96" i="29"/>
  <c r="Z100" i="29"/>
  <c r="Z104" i="29"/>
  <c r="Z108" i="29"/>
  <c r="Z112" i="29"/>
  <c r="Z116" i="29"/>
  <c r="Z120" i="29"/>
  <c r="Z124" i="29"/>
  <c r="Z128" i="29"/>
  <c r="Z132" i="29"/>
  <c r="Z136" i="29"/>
  <c r="Z140" i="29"/>
  <c r="Z61" i="29"/>
  <c r="Z65" i="29"/>
  <c r="Z69" i="29"/>
  <c r="Z73" i="29"/>
  <c r="Z77" i="29"/>
  <c r="Z81" i="29"/>
  <c r="Z85" i="29"/>
  <c r="Z89" i="29"/>
  <c r="Z93" i="29"/>
  <c r="Z97" i="29"/>
  <c r="Z101" i="29"/>
  <c r="Z105" i="29"/>
  <c r="Z109" i="29"/>
  <c r="Z113" i="29"/>
  <c r="Z117" i="29"/>
  <c r="Z121" i="29"/>
  <c r="Z125" i="29"/>
  <c r="Z129" i="29"/>
  <c r="Z133" i="29"/>
  <c r="Z137" i="29"/>
  <c r="Z141" i="29"/>
  <c r="Z62" i="29"/>
  <c r="Z66" i="29"/>
  <c r="Z70" i="29"/>
  <c r="Z74" i="29"/>
  <c r="Z78" i="29"/>
  <c r="Z82" i="29"/>
  <c r="Z86" i="29"/>
  <c r="Z90" i="29"/>
  <c r="Z94" i="29"/>
  <c r="Z98" i="29"/>
  <c r="Z102" i="29"/>
  <c r="Z106" i="29"/>
  <c r="Z110" i="29"/>
  <c r="Z114" i="29"/>
  <c r="Z118" i="29"/>
  <c r="Z122" i="29"/>
  <c r="Z126" i="29"/>
  <c r="Z130" i="29"/>
  <c r="Z134" i="29"/>
  <c r="Z138" i="29"/>
  <c r="Z145" i="29"/>
  <c r="Z149" i="29"/>
  <c r="Z153" i="29"/>
  <c r="Z142" i="29"/>
  <c r="Z146" i="29"/>
  <c r="Z150" i="29"/>
  <c r="Z154" i="29"/>
  <c r="Z143" i="29"/>
  <c r="Z147" i="29"/>
  <c r="Z151" i="29"/>
  <c r="Z155" i="29"/>
  <c r="Z144" i="29"/>
  <c r="Z148" i="29"/>
  <c r="Z152" i="29"/>
  <c r="Z156" i="29"/>
  <c r="Z57" i="29"/>
  <c r="Z58" i="29"/>
  <c r="H205" i="18"/>
  <c r="H198" i="18"/>
  <c r="H71" i="38"/>
  <c r="L148" i="35"/>
  <c r="I34" i="38" s="1"/>
  <c r="M204" i="35"/>
  <c r="L222" i="35" s="1"/>
  <c r="K222" i="35"/>
  <c r="H214" i="48"/>
  <c r="G92" i="13"/>
  <c r="AK92" i="13" s="1"/>
  <c r="AL92" i="13" s="1"/>
  <c r="G96" i="13"/>
  <c r="AK96" i="13" s="1"/>
  <c r="AL96" i="13" s="1"/>
  <c r="E94" i="13"/>
  <c r="J94" i="13" s="1"/>
  <c r="G81" i="13"/>
  <c r="AK81" i="13" s="1"/>
  <c r="AL81" i="13" s="1"/>
  <c r="G97" i="13"/>
  <c r="AK97" i="13" s="1"/>
  <c r="AL97" i="13" s="1"/>
  <c r="I92" i="13"/>
  <c r="AB92" i="13" s="1"/>
  <c r="AJ60" i="13"/>
  <c r="N84" i="35"/>
  <c r="K20" i="38" s="1"/>
  <c r="H220" i="18"/>
  <c r="Q31" i="36"/>
  <c r="R15" i="53"/>
  <c r="K91" i="13"/>
  <c r="T91" i="13" s="1"/>
  <c r="E79" i="13"/>
  <c r="AD48" i="13"/>
  <c r="J48" i="13"/>
  <c r="K94" i="13"/>
  <c r="T94" i="13" s="1"/>
  <c r="I94" i="13"/>
  <c r="AB94" i="13" s="1"/>
  <c r="I91" i="13"/>
  <c r="AB91" i="13" s="1"/>
  <c r="AE53" i="13"/>
  <c r="J53" i="13"/>
  <c r="E86" i="13"/>
  <c r="J86" i="13" s="1"/>
  <c r="J54" i="13"/>
  <c r="E90" i="13"/>
  <c r="J90" i="13" s="1"/>
  <c r="K80" i="13"/>
  <c r="T80" i="13" s="1"/>
  <c r="G83" i="13"/>
  <c r="AK83" i="13" s="1"/>
  <c r="AL83" i="13" s="1"/>
  <c r="I88" i="13"/>
  <c r="AB88" i="13" s="1"/>
  <c r="I95" i="13"/>
  <c r="AB95" i="13" s="1"/>
  <c r="K67" i="13"/>
  <c r="K86" i="13"/>
  <c r="T86" i="13" s="1"/>
  <c r="E93" i="13"/>
  <c r="J93" i="13" s="1"/>
  <c r="G88" i="13"/>
  <c r="AK56" i="13"/>
  <c r="AL56" i="13" s="1"/>
  <c r="K92" i="13"/>
  <c r="T92" i="13" s="1"/>
  <c r="R60" i="13"/>
  <c r="U60" i="13"/>
  <c r="S60" i="13"/>
  <c r="O60" i="13"/>
  <c r="P32" i="13"/>
  <c r="AH32" i="13"/>
  <c r="K96" i="13"/>
  <c r="T96" i="13" s="1"/>
  <c r="R64" i="13"/>
  <c r="U64" i="13"/>
  <c r="O64" i="13"/>
  <c r="S64" i="13"/>
  <c r="R59" i="13"/>
  <c r="S59" i="13"/>
  <c r="U59" i="13"/>
  <c r="O59" i="13"/>
  <c r="K90" i="13"/>
  <c r="T90" i="13" s="1"/>
  <c r="S58" i="13"/>
  <c r="R58" i="13"/>
  <c r="U58" i="13"/>
  <c r="O58" i="13"/>
  <c r="S62" i="13"/>
  <c r="O62" i="13"/>
  <c r="R62" i="13"/>
  <c r="U62" i="13"/>
  <c r="K98" i="13"/>
  <c r="T98" i="13" s="1"/>
  <c r="O66" i="13"/>
  <c r="U66" i="13"/>
  <c r="S66" i="13"/>
  <c r="R66" i="13"/>
  <c r="AH31" i="13"/>
  <c r="P31" i="13"/>
  <c r="K95" i="13"/>
  <c r="T95" i="13" s="1"/>
  <c r="R63" i="13"/>
  <c r="U63" i="13"/>
  <c r="O63" i="13"/>
  <c r="S63" i="13"/>
  <c r="P24" i="13"/>
  <c r="AH24" i="13"/>
  <c r="U56" i="13"/>
  <c r="O56" i="13"/>
  <c r="R56" i="13"/>
  <c r="S56" i="13"/>
  <c r="K88" i="13"/>
  <c r="T88" i="13" s="1"/>
  <c r="G90" i="13"/>
  <c r="AK58" i="13"/>
  <c r="AL58" i="13" s="1"/>
  <c r="O91" i="13"/>
  <c r="S91" i="13"/>
  <c r="P28" i="13"/>
  <c r="AH28" i="13"/>
  <c r="P30" i="13"/>
  <c r="AH30" i="13"/>
  <c r="AH25" i="13"/>
  <c r="P25" i="13"/>
  <c r="E97" i="13"/>
  <c r="J97" i="13" s="1"/>
  <c r="AH27" i="13"/>
  <c r="P27" i="13"/>
  <c r="E98" i="13"/>
  <c r="J98" i="13" s="1"/>
  <c r="AH29" i="13"/>
  <c r="P29" i="13"/>
  <c r="U65" i="13"/>
  <c r="S65" i="13"/>
  <c r="R65" i="13"/>
  <c r="O65" i="13"/>
  <c r="U89" i="13"/>
  <c r="G89" i="13"/>
  <c r="AK57" i="13"/>
  <c r="AL57" i="13" s="1"/>
  <c r="G93" i="13"/>
  <c r="AK61" i="13"/>
  <c r="AL61" i="13" s="1"/>
  <c r="P26" i="13"/>
  <c r="AH26" i="13"/>
  <c r="G91" i="13"/>
  <c r="AK59" i="13"/>
  <c r="AL59" i="13" s="1"/>
  <c r="G95" i="13"/>
  <c r="AK63" i="13"/>
  <c r="AL63" i="13" s="1"/>
  <c r="P34" i="13"/>
  <c r="AH34" i="13"/>
  <c r="S57" i="13"/>
  <c r="O57" i="13"/>
  <c r="U57" i="13"/>
  <c r="R57" i="13"/>
  <c r="K93" i="13"/>
  <c r="T93" i="13" s="1"/>
  <c r="S61" i="13"/>
  <c r="O61" i="13"/>
  <c r="U61" i="13"/>
  <c r="R61" i="13"/>
  <c r="AH33" i="13"/>
  <c r="P33" i="13"/>
  <c r="J92" i="18"/>
  <c r="I206" i="18"/>
  <c r="K136" i="18"/>
  <c r="H192" i="18"/>
  <c r="K95" i="18"/>
  <c r="H207" i="18"/>
  <c r="K127" i="18"/>
  <c r="K70" i="18"/>
  <c r="L132" i="18"/>
  <c r="M132" i="18" s="1"/>
  <c r="N132" i="18" s="1"/>
  <c r="I212" i="31"/>
  <c r="I148" i="31"/>
  <c r="J197" i="31"/>
  <c r="K197" i="31" s="1"/>
  <c r="I200" i="31"/>
  <c r="I149" i="31"/>
  <c r="I199" i="31"/>
  <c r="J217" i="31"/>
  <c r="K217" i="31" s="1"/>
  <c r="I108" i="31"/>
  <c r="I184" i="31"/>
  <c r="M47" i="18"/>
  <c r="N236" i="18" s="1"/>
  <c r="Q24" i="36"/>
  <c r="F8" i="37"/>
  <c r="N63" i="35"/>
  <c r="O60" i="35"/>
  <c r="N56" i="35"/>
  <c r="O55" i="35"/>
  <c r="I103" i="31"/>
  <c r="J191" i="31"/>
  <c r="I180" i="31"/>
  <c r="I177" i="31"/>
  <c r="I188" i="31"/>
  <c r="H135" i="31"/>
  <c r="I165" i="31"/>
  <c r="H173" i="31"/>
  <c r="I209" i="31"/>
  <c r="I203" i="31"/>
  <c r="J109" i="31"/>
  <c r="I183" i="31"/>
  <c r="I128" i="31"/>
  <c r="I163" i="31"/>
  <c r="I161" i="31"/>
  <c r="I215" i="31"/>
  <c r="I167" i="31"/>
  <c r="I160" i="31"/>
  <c r="K142" i="29"/>
  <c r="L142" i="29" s="1"/>
  <c r="M142" i="29" s="1"/>
  <c r="AD142" i="29" s="1"/>
  <c r="J126" i="29"/>
  <c r="J145" i="29"/>
  <c r="K101" i="29"/>
  <c r="L101" i="29" s="1"/>
  <c r="M101" i="29" s="1"/>
  <c r="AD101" i="29" s="1"/>
  <c r="J117" i="29"/>
  <c r="J146" i="29"/>
  <c r="K146" i="29" s="1"/>
  <c r="J153" i="29"/>
  <c r="J154" i="29"/>
  <c r="K154" i="29" s="1"/>
  <c r="K108" i="29"/>
  <c r="L150" i="29"/>
  <c r="M150" i="29" s="1"/>
  <c r="AD150" i="29" s="1"/>
  <c r="J118" i="29"/>
  <c r="J112" i="29"/>
  <c r="J104" i="29"/>
  <c r="J75" i="29"/>
  <c r="K75" i="29" s="1"/>
  <c r="L78" i="29"/>
  <c r="M78" i="29" s="1"/>
  <c r="AD78" i="29" s="1"/>
  <c r="K86" i="29"/>
  <c r="J148" i="18"/>
  <c r="J222" i="18" s="1"/>
  <c r="K73" i="35"/>
  <c r="H21" i="38" s="1"/>
  <c r="O70" i="36"/>
  <c r="Q48" i="36"/>
  <c r="O38" i="36"/>
  <c r="O35" i="29"/>
  <c r="Q34" i="36"/>
  <c r="R8" i="36"/>
  <c r="R70" i="36" s="1"/>
  <c r="O22" i="36"/>
  <c r="Q45" i="36"/>
  <c r="O40" i="36"/>
  <c r="Q50" i="36"/>
  <c r="O29" i="36"/>
  <c r="O27" i="36"/>
  <c r="J113" i="31"/>
  <c r="J112" i="31"/>
  <c r="I107" i="31"/>
  <c r="Q61" i="36"/>
  <c r="Q33" i="36"/>
  <c r="O54" i="36"/>
  <c r="O61" i="36"/>
  <c r="O19" i="36"/>
  <c r="Q14" i="36"/>
  <c r="F30" i="37" s="1"/>
  <c r="Q64" i="36"/>
  <c r="Q30" i="36"/>
  <c r="O64" i="36"/>
  <c r="O32" i="36"/>
  <c r="O57" i="36"/>
  <c r="Q52" i="36"/>
  <c r="Q28" i="36"/>
  <c r="Q58" i="36"/>
  <c r="Q57" i="36"/>
  <c r="O66" i="36"/>
  <c r="O50" i="36"/>
  <c r="O34" i="36"/>
  <c r="O18" i="36"/>
  <c r="O37" i="36"/>
  <c r="O69" i="36"/>
  <c r="Q47" i="36"/>
  <c r="O23" i="36"/>
  <c r="Q39" i="36"/>
  <c r="O51" i="36"/>
  <c r="O14" i="36"/>
  <c r="Q25" i="36"/>
  <c r="Q29" i="36"/>
  <c r="O56" i="36"/>
  <c r="O31" i="36"/>
  <c r="Q46" i="36"/>
  <c r="O46" i="36"/>
  <c r="O16" i="36"/>
  <c r="O45" i="36"/>
  <c r="Q70" i="36"/>
  <c r="O15" i="36"/>
  <c r="O24" i="36"/>
  <c r="O67" i="36"/>
  <c r="Q53" i="36"/>
  <c r="O62" i="36"/>
  <c r="O30" i="36"/>
  <c r="T8" i="36"/>
  <c r="T15" i="36" s="1"/>
  <c r="Q59" i="36"/>
  <c r="O39" i="36"/>
  <c r="Q37" i="36"/>
  <c r="Q32" i="36"/>
  <c r="Q54" i="36"/>
  <c r="AA8" i="36"/>
  <c r="AA27" i="36" s="1"/>
  <c r="O48" i="36"/>
  <c r="O25" i="36"/>
  <c r="Q26" i="36"/>
  <c r="O63" i="36"/>
  <c r="O43" i="36"/>
  <c r="Q23" i="36"/>
  <c r="Q49" i="36"/>
  <c r="O58" i="36"/>
  <c r="O42" i="36"/>
  <c r="O26" i="36"/>
  <c r="O17" i="36"/>
  <c r="O53" i="36"/>
  <c r="Q55" i="36"/>
  <c r="Q68" i="36"/>
  <c r="O55" i="36"/>
  <c r="Q60" i="36"/>
  <c r="Q44" i="36"/>
  <c r="F22" i="22"/>
  <c r="AL15" i="13"/>
  <c r="AL35" i="13" s="1"/>
  <c r="K82" i="13"/>
  <c r="T82" i="13" s="1"/>
  <c r="O50" i="13"/>
  <c r="AH19" i="13"/>
  <c r="P19" i="13"/>
  <c r="P22" i="13"/>
  <c r="AH22" i="13"/>
  <c r="O54" i="13"/>
  <c r="AH21" i="13"/>
  <c r="P21" i="13"/>
  <c r="G86" i="13"/>
  <c r="AK54" i="13"/>
  <c r="AL54" i="13" s="1"/>
  <c r="O55" i="13"/>
  <c r="P20" i="13"/>
  <c r="AH20" i="13"/>
  <c r="K83" i="13"/>
  <c r="T83" i="13" s="1"/>
  <c r="O51" i="13"/>
  <c r="K84" i="13"/>
  <c r="T84" i="13" s="1"/>
  <c r="U52" i="13"/>
  <c r="O52" i="13"/>
  <c r="S52" i="13"/>
  <c r="R52" i="13"/>
  <c r="O87" i="13"/>
  <c r="P18" i="13"/>
  <c r="AH18" i="13"/>
  <c r="AH23" i="13"/>
  <c r="P23" i="13"/>
  <c r="P16" i="13"/>
  <c r="AH16" i="13"/>
  <c r="G85" i="13"/>
  <c r="AK53" i="13"/>
  <c r="AL53" i="13" s="1"/>
  <c r="G87" i="13"/>
  <c r="AK55" i="13"/>
  <c r="AL55" i="13" s="1"/>
  <c r="AH17" i="13"/>
  <c r="P17" i="13"/>
  <c r="K81" i="13"/>
  <c r="T81" i="13" s="1"/>
  <c r="O49" i="13"/>
  <c r="K85" i="13"/>
  <c r="T85" i="13" s="1"/>
  <c r="O53" i="13"/>
  <c r="G80" i="13"/>
  <c r="AK48" i="13"/>
  <c r="AL48" i="13" s="1"/>
  <c r="O48" i="13"/>
  <c r="G84" i="13"/>
  <c r="AK52" i="13"/>
  <c r="AL52" i="13" s="1"/>
  <c r="J106" i="29"/>
  <c r="K106" i="29" s="1"/>
  <c r="J79" i="29"/>
  <c r="J129" i="29"/>
  <c r="K129" i="29" s="1"/>
  <c r="K105" i="29"/>
  <c r="K74" i="29"/>
  <c r="J116" i="29"/>
  <c r="J100" i="29"/>
  <c r="J152" i="29"/>
  <c r="J121" i="29"/>
  <c r="J149" i="29"/>
  <c r="J114" i="29"/>
  <c r="J90" i="29"/>
  <c r="J95" i="29"/>
  <c r="J89" i="29"/>
  <c r="J94" i="29"/>
  <c r="J109" i="29"/>
  <c r="K109" i="29" s="1"/>
  <c r="J83" i="29"/>
  <c r="J69" i="29"/>
  <c r="K69" i="29" s="1"/>
  <c r="K141" i="29"/>
  <c r="K88" i="29"/>
  <c r="J143" i="29"/>
  <c r="J127" i="29"/>
  <c r="K134" i="29"/>
  <c r="J147" i="29"/>
  <c r="J131" i="29"/>
  <c r="K82" i="29"/>
  <c r="I52" i="29"/>
  <c r="J137" i="29"/>
  <c r="J151" i="29"/>
  <c r="J135" i="29"/>
  <c r="J119" i="29"/>
  <c r="K66" i="29"/>
  <c r="K125" i="29"/>
  <c r="K96" i="29"/>
  <c r="J99" i="29"/>
  <c r="J73" i="29"/>
  <c r="J111" i="29"/>
  <c r="J139" i="29"/>
  <c r="J123" i="29"/>
  <c r="Y53" i="29"/>
  <c r="P29" i="29" s="1"/>
  <c r="K140" i="35" s="1"/>
  <c r="H28" i="38" s="1"/>
  <c r="L56" i="35"/>
  <c r="L66" i="35" s="1"/>
  <c r="I17" i="38" s="1"/>
  <c r="M63" i="35"/>
  <c r="M56" i="35"/>
  <c r="J92" i="29"/>
  <c r="K103" i="29"/>
  <c r="K85" i="29"/>
  <c r="X10" i="53"/>
  <c r="Q42" i="36"/>
  <c r="F91" i="49"/>
  <c r="D49" i="22"/>
  <c r="Y10" i="43"/>
  <c r="O65" i="36"/>
  <c r="O44" i="36"/>
  <c r="S8" i="36"/>
  <c r="H8" i="37" s="1"/>
  <c r="O35" i="36"/>
  <c r="O33" i="36"/>
  <c r="O28" i="36"/>
  <c r="O60" i="36"/>
  <c r="Q62" i="36"/>
  <c r="O52" i="36"/>
  <c r="O47" i="36"/>
  <c r="O36" i="36"/>
  <c r="O68" i="36"/>
  <c r="O49" i="36"/>
  <c r="O20" i="36"/>
  <c r="Q66" i="36"/>
  <c r="Q69" i="36"/>
  <c r="Q41" i="36"/>
  <c r="Q67" i="36"/>
  <c r="Q20" i="36"/>
  <c r="Q38" i="36"/>
  <c r="O21" i="36"/>
  <c r="Q65" i="36"/>
  <c r="Q43" i="36"/>
  <c r="Q21" i="36"/>
  <c r="Q56" i="36"/>
  <c r="Q16" i="36"/>
  <c r="Q18" i="36"/>
  <c r="O59" i="36"/>
  <c r="Q22" i="36"/>
  <c r="Q35" i="36"/>
  <c r="Q17" i="36"/>
  <c r="Q40" i="36"/>
  <c r="Q63" i="36"/>
  <c r="Q27" i="36"/>
  <c r="Q19" i="36"/>
  <c r="J120" i="53"/>
  <c r="H120" i="43" s="1"/>
  <c r="K128" i="53"/>
  <c r="I128" i="43" s="1"/>
  <c r="J89" i="53"/>
  <c r="K106" i="53"/>
  <c r="J100" i="53"/>
  <c r="H100" i="43" s="1"/>
  <c r="J132" i="53"/>
  <c r="H132" i="43" s="1"/>
  <c r="K109" i="53"/>
  <c r="I109" i="43" s="1"/>
  <c r="I127" i="53"/>
  <c r="G127" i="43" s="1"/>
  <c r="J48" i="53"/>
  <c r="J112" i="53"/>
  <c r="K129" i="53"/>
  <c r="I129" i="43" s="1"/>
  <c r="K56" i="53"/>
  <c r="I56" i="43" s="1"/>
  <c r="J121" i="53"/>
  <c r="J136" i="53"/>
  <c r="H136" i="43" s="1"/>
  <c r="J53" i="53"/>
  <c r="H53" i="43" s="1"/>
  <c r="J85" i="53"/>
  <c r="H85" i="43" s="1"/>
  <c r="K92" i="53"/>
  <c r="I92" i="43" s="1"/>
  <c r="I79" i="53"/>
  <c r="G79" i="43" s="1"/>
  <c r="I135" i="53"/>
  <c r="G135" i="43" s="1"/>
  <c r="I75" i="53"/>
  <c r="G75" i="43" s="1"/>
  <c r="I27" i="53"/>
  <c r="G27" i="43" s="1"/>
  <c r="I91" i="53"/>
  <c r="G91" i="43" s="1"/>
  <c r="I39" i="53"/>
  <c r="G39" i="43" s="1"/>
  <c r="I47" i="53"/>
  <c r="G47" i="43" s="1"/>
  <c r="I55" i="53"/>
  <c r="G55" i="43" s="1"/>
  <c r="I63" i="53"/>
  <c r="G63" i="43" s="1"/>
  <c r="I23" i="53"/>
  <c r="G23" i="43" s="1"/>
  <c r="J97" i="53"/>
  <c r="H97" i="43" s="1"/>
  <c r="J36" i="53"/>
  <c r="H36" i="43" s="1"/>
  <c r="I131" i="53"/>
  <c r="G131" i="43" s="1"/>
  <c r="I111" i="53"/>
  <c r="G111" i="43" s="1"/>
  <c r="K57" i="53"/>
  <c r="I139" i="53"/>
  <c r="G139" i="43" s="1"/>
  <c r="I19" i="53"/>
  <c r="G19" i="43" s="1"/>
  <c r="K41" i="53"/>
  <c r="I41" i="43" s="1"/>
  <c r="I115" i="53"/>
  <c r="G115" i="43" s="1"/>
  <c r="J16" i="53"/>
  <c r="H16" i="43" s="1"/>
  <c r="J119" i="53"/>
  <c r="H119" i="43" s="1"/>
  <c r="I83" i="53"/>
  <c r="G83" i="43" s="1"/>
  <c r="I99" i="53"/>
  <c r="G99" i="43" s="1"/>
  <c r="I123" i="53"/>
  <c r="G123" i="43" s="1"/>
  <c r="J107" i="53"/>
  <c r="H107" i="43" s="1"/>
  <c r="J108" i="53"/>
  <c r="H108" i="43" s="1"/>
  <c r="I43" i="53"/>
  <c r="G43" i="43" s="1"/>
  <c r="I51" i="53"/>
  <c r="G51" i="43" s="1"/>
  <c r="I59" i="53"/>
  <c r="G59" i="43" s="1"/>
  <c r="I67" i="53"/>
  <c r="G67" i="43" s="1"/>
  <c r="I35" i="53"/>
  <c r="G35" i="43" s="1"/>
  <c r="I87" i="53"/>
  <c r="G87" i="43" s="1"/>
  <c r="K29" i="53"/>
  <c r="I29" i="43" s="1"/>
  <c r="J81" i="53"/>
  <c r="H81" i="43" s="1"/>
  <c r="K72" i="53"/>
  <c r="I72" i="43" s="1"/>
  <c r="I38" i="53"/>
  <c r="G38" i="43" s="1"/>
  <c r="I138" i="53"/>
  <c r="G138" i="43" s="1"/>
  <c r="I94" i="53"/>
  <c r="G94" i="43" s="1"/>
  <c r="I134" i="53"/>
  <c r="G134" i="43" s="1"/>
  <c r="K76" i="53"/>
  <c r="I76" i="43" s="1"/>
  <c r="I86" i="53"/>
  <c r="G86" i="43" s="1"/>
  <c r="I126" i="53"/>
  <c r="G126" i="43" s="1"/>
  <c r="I26" i="53"/>
  <c r="G26" i="43" s="1"/>
  <c r="AG15" i="53"/>
  <c r="H141" i="53"/>
  <c r="H12" i="53" s="1"/>
  <c r="I30" i="53"/>
  <c r="G30" i="43" s="1"/>
  <c r="I50" i="53"/>
  <c r="G50" i="43" s="1"/>
  <c r="I66" i="53"/>
  <c r="G66" i="43" s="1"/>
  <c r="I74" i="53"/>
  <c r="G74" i="43" s="1"/>
  <c r="I130" i="53"/>
  <c r="G130" i="43" s="1"/>
  <c r="I90" i="53"/>
  <c r="G90" i="43" s="1"/>
  <c r="J137" i="53"/>
  <c r="H137" i="43" s="1"/>
  <c r="J71" i="53"/>
  <c r="H71" i="43" s="1"/>
  <c r="J101" i="53"/>
  <c r="H101" i="43" s="1"/>
  <c r="L104" i="53"/>
  <c r="I54" i="53"/>
  <c r="G54" i="43" s="1"/>
  <c r="J28" i="53"/>
  <c r="H28" i="43" s="1"/>
  <c r="I82" i="53"/>
  <c r="G82" i="43" s="1"/>
  <c r="I102" i="53"/>
  <c r="G102" i="43" s="1"/>
  <c r="I118" i="53"/>
  <c r="G118" i="43" s="1"/>
  <c r="I78" i="53"/>
  <c r="G78" i="43" s="1"/>
  <c r="I122" i="53"/>
  <c r="G122" i="43" s="1"/>
  <c r="I22" i="53"/>
  <c r="G22" i="43" s="1"/>
  <c r="K24" i="53"/>
  <c r="I24" i="43" s="1"/>
  <c r="J42" i="53"/>
  <c r="H42" i="43" s="1"/>
  <c r="I114" i="53"/>
  <c r="G114" i="43" s="1"/>
  <c r="J31" i="53"/>
  <c r="H31" i="43" s="1"/>
  <c r="I70" i="53"/>
  <c r="G70" i="43" s="1"/>
  <c r="I98" i="53"/>
  <c r="G98" i="43" s="1"/>
  <c r="I62" i="53"/>
  <c r="G62" i="43" s="1"/>
  <c r="I18" i="53"/>
  <c r="G18" i="43" s="1"/>
  <c r="I34" i="53"/>
  <c r="G34" i="43" s="1"/>
  <c r="I46" i="53"/>
  <c r="G46" i="43" s="1"/>
  <c r="I58" i="53"/>
  <c r="G58" i="43" s="1"/>
  <c r="F104" i="49"/>
  <c r="I201" i="31"/>
  <c r="I116" i="31"/>
  <c r="I147" i="31"/>
  <c r="I168" i="31"/>
  <c r="I175" i="31"/>
  <c r="J115" i="31"/>
  <c r="H235" i="31"/>
  <c r="H153" i="31"/>
  <c r="K133" i="29"/>
  <c r="J47" i="18"/>
  <c r="J236" i="18" s="1"/>
  <c r="F30" i="49"/>
  <c r="H104" i="31"/>
  <c r="H192" i="31"/>
  <c r="H176" i="31"/>
  <c r="H129" i="31"/>
  <c r="H208" i="31"/>
  <c r="H152" i="31"/>
  <c r="H195" i="31"/>
  <c r="I237" i="31"/>
  <c r="J172" i="31"/>
  <c r="H179" i="31"/>
  <c r="H151" i="31"/>
  <c r="H205" i="31"/>
  <c r="I193" i="31"/>
  <c r="I207" i="31"/>
  <c r="H111" i="31"/>
  <c r="H117" i="31"/>
  <c r="I169" i="31"/>
  <c r="I196" i="31"/>
  <c r="H221" i="31"/>
  <c r="I185" i="31"/>
  <c r="I164" i="31"/>
  <c r="H211" i="31"/>
  <c r="H219" i="31"/>
  <c r="K216" i="31"/>
  <c r="H227" i="31"/>
  <c r="H223" i="31"/>
  <c r="I127" i="31"/>
  <c r="H229" i="31"/>
  <c r="H233" i="31"/>
  <c r="I231" i="31"/>
  <c r="H232" i="31"/>
  <c r="H189" i="31"/>
  <c r="H228" i="31"/>
  <c r="I213" i="31"/>
  <c r="I224" i="31"/>
  <c r="J204" i="31"/>
  <c r="I187" i="31"/>
  <c r="I181" i="31"/>
  <c r="AK47" i="13"/>
  <c r="AL47" i="13" s="1"/>
  <c r="G79" i="13"/>
  <c r="AJ61" i="13"/>
  <c r="AJ51" i="13"/>
  <c r="AJ56" i="13"/>
  <c r="AE23" i="13"/>
  <c r="AD23" i="13"/>
  <c r="AE25" i="13"/>
  <c r="AD25" i="13"/>
  <c r="AE33" i="13"/>
  <c r="AD33" i="13"/>
  <c r="AJ63" i="13"/>
  <c r="AE26" i="13"/>
  <c r="AD26" i="13"/>
  <c r="AE18" i="13"/>
  <c r="AD18" i="13"/>
  <c r="AE28" i="13"/>
  <c r="AD28" i="13"/>
  <c r="AD60" i="13"/>
  <c r="AE60" i="13"/>
  <c r="AD16" i="13"/>
  <c r="AE16" i="13"/>
  <c r="AE21" i="13"/>
  <c r="AD21" i="13"/>
  <c r="AE31" i="13"/>
  <c r="AD31" i="13"/>
  <c r="AE30" i="13"/>
  <c r="AD30" i="13"/>
  <c r="AJ80" i="13"/>
  <c r="AJ62" i="13"/>
  <c r="AJ50" i="13"/>
  <c r="I86" i="13"/>
  <c r="AB86" i="13" s="1"/>
  <c r="AJ54" i="13"/>
  <c r="AJ65" i="13"/>
  <c r="AE32" i="13"/>
  <c r="AD32" i="13"/>
  <c r="AJ49" i="13"/>
  <c r="AJ96" i="13"/>
  <c r="AJ52" i="13"/>
  <c r="AJ57" i="13"/>
  <c r="AJ87" i="13"/>
  <c r="I84" i="13"/>
  <c r="AB84" i="13" s="1"/>
  <c r="AJ58" i="13"/>
  <c r="AJ85" i="13"/>
  <c r="AE19" i="13"/>
  <c r="AD19" i="13"/>
  <c r="AE24" i="13"/>
  <c r="AD24" i="13"/>
  <c r="AE29" i="13"/>
  <c r="AD29" i="13"/>
  <c r="AD64" i="13"/>
  <c r="AE64" i="13"/>
  <c r="AE20" i="13"/>
  <c r="AD20" i="13"/>
  <c r="AD66" i="13"/>
  <c r="AE66" i="13"/>
  <c r="AE22" i="13"/>
  <c r="AD22" i="13"/>
  <c r="AJ59" i="13"/>
  <c r="AE34" i="13"/>
  <c r="AD34" i="13"/>
  <c r="AD17" i="13"/>
  <c r="AE17" i="13"/>
  <c r="AE27" i="13"/>
  <c r="AD27" i="13"/>
  <c r="K87" i="29"/>
  <c r="P53" i="29"/>
  <c r="P14" i="29" s="1"/>
  <c r="I123" i="18" s="1"/>
  <c r="I221" i="18" s="1"/>
  <c r="K113" i="29"/>
  <c r="K97" i="29"/>
  <c r="K65" i="29"/>
  <c r="K122" i="29"/>
  <c r="K130" i="29"/>
  <c r="K145" i="29"/>
  <c r="J102" i="29"/>
  <c r="J68" i="29"/>
  <c r="J136" i="29"/>
  <c r="J110" i="29"/>
  <c r="J132" i="29"/>
  <c r="J124" i="29"/>
  <c r="J76" i="29"/>
  <c r="J98" i="29"/>
  <c r="J155" i="29"/>
  <c r="J107" i="29"/>
  <c r="I158" i="29"/>
  <c r="I54" i="29" s="1"/>
  <c r="I53" i="29"/>
  <c r="K67" i="29"/>
  <c r="J140" i="29"/>
  <c r="K90" i="29"/>
  <c r="K71" i="29"/>
  <c r="J84" i="29"/>
  <c r="K138" i="29"/>
  <c r="J70" i="29"/>
  <c r="K81" i="29"/>
  <c r="J115" i="29"/>
  <c r="J80" i="29"/>
  <c r="K77" i="29"/>
  <c r="J148" i="29"/>
  <c r="J128" i="29"/>
  <c r="K91" i="29"/>
  <c r="J144" i="29"/>
  <c r="J120" i="29"/>
  <c r="P158" i="29"/>
  <c r="P54" i="29" s="1"/>
  <c r="O47" i="13"/>
  <c r="P15" i="13"/>
  <c r="AH15" i="13"/>
  <c r="O35" i="13"/>
  <c r="I79" i="13"/>
  <c r="AJ47" i="13"/>
  <c r="I130" i="13"/>
  <c r="AB130" i="13" s="1"/>
  <c r="E115" i="13"/>
  <c r="J115" i="13" s="1"/>
  <c r="E84" i="13"/>
  <c r="J84" i="13" s="1"/>
  <c r="I97" i="13"/>
  <c r="AB97" i="13" s="1"/>
  <c r="P52" i="29"/>
  <c r="I117" i="13"/>
  <c r="AB117" i="13" s="1"/>
  <c r="G130" i="13"/>
  <c r="AK130" i="13" s="1"/>
  <c r="AL130" i="13" s="1"/>
  <c r="I83" i="13"/>
  <c r="AB83" i="13" s="1"/>
  <c r="E82" i="13"/>
  <c r="J82" i="13" s="1"/>
  <c r="I82" i="13"/>
  <c r="AB82" i="13" s="1"/>
  <c r="I73" i="18"/>
  <c r="I97" i="18"/>
  <c r="I261" i="18" s="1"/>
  <c r="J125" i="53"/>
  <c r="H125" i="43" s="1"/>
  <c r="K44" i="53"/>
  <c r="I44" i="43" s="1"/>
  <c r="K60" i="53"/>
  <c r="I60" i="43" s="1"/>
  <c r="I119" i="13"/>
  <c r="AB119" i="13" s="1"/>
  <c r="K20" i="53"/>
  <c r="I20" i="43" s="1"/>
  <c r="I225" i="31"/>
  <c r="K153" i="29"/>
  <c r="J69" i="53"/>
  <c r="H69" i="43" s="1"/>
  <c r="I112" i="13"/>
  <c r="AB112" i="13" s="1"/>
  <c r="J156" i="29"/>
  <c r="AP15" i="53"/>
  <c r="AO141" i="53"/>
  <c r="AO12" i="53" s="1"/>
  <c r="J93" i="29"/>
  <c r="J95" i="53"/>
  <c r="H95" i="43" s="1"/>
  <c r="K117" i="53"/>
  <c r="I117" i="43" s="1"/>
  <c r="K72" i="29"/>
  <c r="K21" i="53"/>
  <c r="I21" i="43" s="1"/>
  <c r="I90" i="13"/>
  <c r="AB90" i="13" s="1"/>
  <c r="I220" i="31"/>
  <c r="J37" i="53"/>
  <c r="H37" i="43" s="1"/>
  <c r="J103" i="53"/>
  <c r="H103" i="43" s="1"/>
  <c r="K110" i="53"/>
  <c r="I110" i="43" s="1"/>
  <c r="K124" i="53"/>
  <c r="I124" i="43" s="1"/>
  <c r="I236" i="31"/>
  <c r="O14" i="29"/>
  <c r="I21" i="39"/>
  <c r="I16" i="39"/>
  <c r="I47" i="39"/>
  <c r="H54" i="39"/>
  <c r="I20" i="39"/>
  <c r="I19" i="39"/>
  <c r="I14" i="39"/>
  <c r="I43" i="39"/>
  <c r="H45" i="39"/>
  <c r="Q15" i="36"/>
  <c r="I19" i="48"/>
  <c r="N66" i="35"/>
  <c r="K17" i="38" s="1"/>
  <c r="L83" i="35"/>
  <c r="K89" i="35"/>
  <c r="K122" i="35"/>
  <c r="M22" i="35"/>
  <c r="L26" i="35"/>
  <c r="L127" i="35"/>
  <c r="K129" i="35"/>
  <c r="L203" i="35"/>
  <c r="K66" i="35"/>
  <c r="H17" i="38" s="1"/>
  <c r="L47" i="18"/>
  <c r="M236" i="18" s="1"/>
  <c r="G114" i="13"/>
  <c r="AK114" i="13" s="1"/>
  <c r="AL114" i="13" s="1"/>
  <c r="G128" i="13"/>
  <c r="AK128" i="13" s="1"/>
  <c r="AL128" i="13" s="1"/>
  <c r="E85" i="13"/>
  <c r="J85" i="13" s="1"/>
  <c r="E89" i="13"/>
  <c r="J89" i="13" s="1"/>
  <c r="K47" i="18"/>
  <c r="L236" i="18" s="1"/>
  <c r="K68" i="18"/>
  <c r="J73" i="18"/>
  <c r="J61" i="18"/>
  <c r="I64" i="18"/>
  <c r="K92" i="18"/>
  <c r="H76" i="18"/>
  <c r="H88" i="18"/>
  <c r="I83" i="18"/>
  <c r="E112" i="13"/>
  <c r="J112" i="13" s="1"/>
  <c r="E92" i="13"/>
  <c r="J92" i="13" s="1"/>
  <c r="E88" i="13"/>
  <c r="J88" i="13" s="1"/>
  <c r="E91" i="13"/>
  <c r="J91" i="13" s="1"/>
  <c r="I93" i="13"/>
  <c r="AB93" i="13" s="1"/>
  <c r="E96" i="13"/>
  <c r="J96" i="13" s="1"/>
  <c r="E95" i="13"/>
  <c r="J95" i="13" s="1"/>
  <c r="K97" i="13"/>
  <c r="T97" i="13" s="1"/>
  <c r="I128" i="13"/>
  <c r="AB128" i="13" s="1"/>
  <c r="E87" i="13"/>
  <c r="J87" i="13" s="1"/>
  <c r="I89" i="13"/>
  <c r="AB89" i="13" s="1"/>
  <c r="E81" i="13"/>
  <c r="J81" i="13" s="1"/>
  <c r="G94" i="13"/>
  <c r="AK94" i="13" s="1"/>
  <c r="AL94" i="13" s="1"/>
  <c r="O20" i="29"/>
  <c r="K111" i="13"/>
  <c r="H11" i="22"/>
  <c r="M16" i="35" s="1"/>
  <c r="I14" i="37"/>
  <c r="K126" i="13" l="1"/>
  <c r="T126" i="13" s="1"/>
  <c r="AJ81" i="13"/>
  <c r="S89" i="13"/>
  <c r="K123" i="13"/>
  <c r="T123" i="13" s="1"/>
  <c r="R89" i="13"/>
  <c r="O89" i="13"/>
  <c r="AH89" i="13" s="1"/>
  <c r="K121" i="13"/>
  <c r="T121" i="13" s="1"/>
  <c r="J108" i="49"/>
  <c r="K108" i="49"/>
  <c r="L108" i="49"/>
  <c r="H108" i="49"/>
  <c r="I108" i="49"/>
  <c r="J109" i="49"/>
  <c r="K109" i="49"/>
  <c r="H109" i="49"/>
  <c r="L109" i="49"/>
  <c r="I109" i="49"/>
  <c r="J259" i="18"/>
  <c r="O56" i="35"/>
  <c r="K260" i="18"/>
  <c r="R61" i="53"/>
  <c r="R133" i="53"/>
  <c r="J260" i="18"/>
  <c r="R29" i="53"/>
  <c r="R76" i="53"/>
  <c r="R124" i="53"/>
  <c r="R109" i="53"/>
  <c r="R128" i="53"/>
  <c r="R106" i="53"/>
  <c r="R60" i="53"/>
  <c r="R44" i="53"/>
  <c r="R117" i="53"/>
  <c r="I259" i="18"/>
  <c r="I253" i="18"/>
  <c r="H65" i="39"/>
  <c r="F54" i="49"/>
  <c r="K236" i="18"/>
  <c r="O63" i="35"/>
  <c r="I118" i="18"/>
  <c r="R25" i="53"/>
  <c r="R65" i="53"/>
  <c r="R17" i="53"/>
  <c r="R40" i="53"/>
  <c r="R45" i="53"/>
  <c r="R32" i="53"/>
  <c r="R41" i="53"/>
  <c r="R20" i="53"/>
  <c r="R110" i="53"/>
  <c r="R129" i="53"/>
  <c r="R104" i="53"/>
  <c r="R92" i="53"/>
  <c r="R57" i="53"/>
  <c r="R49" i="53"/>
  <c r="R56" i="53"/>
  <c r="R24" i="53"/>
  <c r="R21" i="53"/>
  <c r="R72" i="53"/>
  <c r="I252" i="18"/>
  <c r="P124" i="43"/>
  <c r="AB124" i="43"/>
  <c r="P117" i="43"/>
  <c r="AB117" i="43"/>
  <c r="N70" i="43"/>
  <c r="Z70" i="43"/>
  <c r="N118" i="43"/>
  <c r="Z118" i="43"/>
  <c r="AA137" i="43"/>
  <c r="O137" i="43"/>
  <c r="N38" i="43"/>
  <c r="Z38" i="43"/>
  <c r="N51" i="43"/>
  <c r="Z51" i="43"/>
  <c r="N139" i="43"/>
  <c r="Z139" i="43"/>
  <c r="N55" i="43"/>
  <c r="Z55" i="43"/>
  <c r="P92" i="43"/>
  <c r="AB92" i="43"/>
  <c r="R48" i="53"/>
  <c r="H48" i="43"/>
  <c r="P128" i="43"/>
  <c r="AB128" i="43"/>
  <c r="I40" i="43"/>
  <c r="I25" i="43"/>
  <c r="AA73" i="43"/>
  <c r="O73" i="43"/>
  <c r="P133" i="43"/>
  <c r="AB133" i="43"/>
  <c r="O116" i="43"/>
  <c r="AA116" i="43"/>
  <c r="O33" i="43"/>
  <c r="AA33" i="43"/>
  <c r="N28" i="43"/>
  <c r="Z28" i="43"/>
  <c r="O61" i="43"/>
  <c r="AA61" i="43"/>
  <c r="N107" i="43"/>
  <c r="Z107" i="43"/>
  <c r="N33" i="43"/>
  <c r="Z33" i="43"/>
  <c r="N68" i="43"/>
  <c r="Z68" i="43"/>
  <c r="N64" i="43"/>
  <c r="Z64" i="43"/>
  <c r="N71" i="43"/>
  <c r="Z71" i="43"/>
  <c r="AA95" i="43"/>
  <c r="O95" i="43"/>
  <c r="N18" i="43"/>
  <c r="Z18" i="43"/>
  <c r="N22" i="43"/>
  <c r="Z22" i="43"/>
  <c r="J104" i="43"/>
  <c r="N50" i="43"/>
  <c r="Z50" i="43"/>
  <c r="N134" i="43"/>
  <c r="Z134" i="43"/>
  <c r="N35" i="43"/>
  <c r="Z35" i="43"/>
  <c r="N99" i="43"/>
  <c r="Z99" i="43"/>
  <c r="I57" i="43"/>
  <c r="N47" i="43"/>
  <c r="Z47" i="43"/>
  <c r="O85" i="43"/>
  <c r="AA85" i="43"/>
  <c r="N127" i="43"/>
  <c r="Z127" i="43"/>
  <c r="I106" i="43"/>
  <c r="O77" i="43"/>
  <c r="AA77" i="43"/>
  <c r="AA103" i="43"/>
  <c r="O103" i="43"/>
  <c r="P21" i="43"/>
  <c r="AB21" i="43"/>
  <c r="P20" i="43"/>
  <c r="AB20" i="43"/>
  <c r="O125" i="43"/>
  <c r="AA125" i="43"/>
  <c r="N58" i="43"/>
  <c r="Z58" i="43"/>
  <c r="N62" i="43"/>
  <c r="Z62" i="43"/>
  <c r="N114" i="43"/>
  <c r="Z114" i="43"/>
  <c r="Z122" i="43"/>
  <c r="N122" i="43"/>
  <c r="Z82" i="43"/>
  <c r="N82" i="43"/>
  <c r="O101" i="43"/>
  <c r="AA101" i="43"/>
  <c r="N130" i="43"/>
  <c r="Z130" i="43"/>
  <c r="N30" i="43"/>
  <c r="Z30" i="43"/>
  <c r="N126" i="43"/>
  <c r="Z126" i="43"/>
  <c r="N94" i="43"/>
  <c r="Z94" i="43"/>
  <c r="AA81" i="43"/>
  <c r="O81" i="43"/>
  <c r="N67" i="43"/>
  <c r="Z67" i="43"/>
  <c r="O108" i="43"/>
  <c r="AA108" i="43"/>
  <c r="N83" i="43"/>
  <c r="Z83" i="43"/>
  <c r="P41" i="43"/>
  <c r="AB41" i="43"/>
  <c r="N111" i="43"/>
  <c r="Z111" i="43"/>
  <c r="N23" i="43"/>
  <c r="Z23" i="43"/>
  <c r="N39" i="43"/>
  <c r="Z39" i="43"/>
  <c r="N135" i="43"/>
  <c r="Z135" i="43"/>
  <c r="O53" i="43"/>
  <c r="AA53" i="43"/>
  <c r="AB129" i="43"/>
  <c r="P129" i="43"/>
  <c r="P109" i="43"/>
  <c r="AB109" i="43"/>
  <c r="K77" i="53"/>
  <c r="L77" i="53" s="1"/>
  <c r="I65" i="43"/>
  <c r="AA52" i="43"/>
  <c r="O52" i="43"/>
  <c r="O64" i="43"/>
  <c r="AA64" i="43"/>
  <c r="P45" i="43"/>
  <c r="AB45" i="43"/>
  <c r="O105" i="43"/>
  <c r="AA105" i="43"/>
  <c r="O84" i="43"/>
  <c r="AA84" i="43"/>
  <c r="P61" i="43"/>
  <c r="AB61" i="43"/>
  <c r="I32" i="43"/>
  <c r="O80" i="43"/>
  <c r="AA80" i="43"/>
  <c r="N84" i="43"/>
  <c r="Z84" i="43"/>
  <c r="O25" i="43"/>
  <c r="AA25" i="43"/>
  <c r="N53" i="43"/>
  <c r="Z53" i="43"/>
  <c r="N101" i="43"/>
  <c r="Z101" i="43"/>
  <c r="Z88" i="43"/>
  <c r="N88" i="43"/>
  <c r="N119" i="43"/>
  <c r="Z119" i="43"/>
  <c r="O65" i="43"/>
  <c r="AA65" i="43"/>
  <c r="N73" i="43"/>
  <c r="Z73" i="43"/>
  <c r="N108" i="43"/>
  <c r="Z108" i="43"/>
  <c r="N137" i="43"/>
  <c r="Z137" i="43"/>
  <c r="O17" i="43"/>
  <c r="AA17" i="43"/>
  <c r="O40" i="43"/>
  <c r="AA40" i="43"/>
  <c r="O45" i="43"/>
  <c r="AA45" i="43"/>
  <c r="N36" i="43"/>
  <c r="Z36" i="43"/>
  <c r="N136" i="43"/>
  <c r="Z136" i="43"/>
  <c r="O32" i="43"/>
  <c r="AA32" i="43"/>
  <c r="N105" i="43"/>
  <c r="Z105" i="43"/>
  <c r="P60" i="43"/>
  <c r="AB60" i="43"/>
  <c r="N34" i="43"/>
  <c r="Z34" i="43"/>
  <c r="P24" i="43"/>
  <c r="AB24" i="43"/>
  <c r="N54" i="43"/>
  <c r="Z54" i="43"/>
  <c r="N66" i="43"/>
  <c r="Z66" i="43"/>
  <c r="P76" i="43"/>
  <c r="AB76" i="43"/>
  <c r="N87" i="43"/>
  <c r="Z87" i="43"/>
  <c r="N123" i="43"/>
  <c r="Z123" i="43"/>
  <c r="AA16" i="43"/>
  <c r="O16" i="43"/>
  <c r="AA36" i="43"/>
  <c r="O36" i="43"/>
  <c r="N27" i="43"/>
  <c r="Z27" i="43"/>
  <c r="R121" i="53"/>
  <c r="H121" i="43"/>
  <c r="O100" i="43"/>
  <c r="AA100" i="43"/>
  <c r="R88" i="53"/>
  <c r="H88" i="43"/>
  <c r="O68" i="43"/>
  <c r="AA68" i="43"/>
  <c r="N85" i="43"/>
  <c r="Z85" i="43"/>
  <c r="N31" i="43"/>
  <c r="Z31" i="43"/>
  <c r="N93" i="43"/>
  <c r="Z93" i="43"/>
  <c r="N97" i="43"/>
  <c r="Z97" i="43"/>
  <c r="O133" i="43"/>
  <c r="AA133" i="43"/>
  <c r="N42" i="43"/>
  <c r="Z42" i="43"/>
  <c r="N52" i="43"/>
  <c r="Z52" i="43"/>
  <c r="N113" i="43"/>
  <c r="Z113" i="43"/>
  <c r="P110" i="43"/>
  <c r="AB110" i="43"/>
  <c r="P44" i="43"/>
  <c r="AB44" i="43"/>
  <c r="O31" i="43"/>
  <c r="AA31" i="43"/>
  <c r="N102" i="43"/>
  <c r="Z102" i="43"/>
  <c r="N90" i="43"/>
  <c r="Z90" i="43"/>
  <c r="N26" i="43"/>
  <c r="Z26" i="43"/>
  <c r="P72" i="43"/>
  <c r="AB72" i="43"/>
  <c r="N43" i="43"/>
  <c r="Z43" i="43"/>
  <c r="N115" i="43"/>
  <c r="Z115" i="43"/>
  <c r="O97" i="43"/>
  <c r="AA97" i="43"/>
  <c r="N75" i="43"/>
  <c r="Z75" i="43"/>
  <c r="P56" i="43"/>
  <c r="AB56" i="43"/>
  <c r="O120" i="43"/>
  <c r="AA120" i="43"/>
  <c r="P49" i="43"/>
  <c r="AB49" i="43"/>
  <c r="O37" i="43"/>
  <c r="AA37" i="43"/>
  <c r="O69" i="43"/>
  <c r="AA69" i="43"/>
  <c r="N46" i="43"/>
  <c r="Z46" i="43"/>
  <c r="Z98" i="43"/>
  <c r="N98" i="43"/>
  <c r="O42" i="43"/>
  <c r="AA42" i="43"/>
  <c r="N78" i="43"/>
  <c r="Z78" i="43"/>
  <c r="AA28" i="43"/>
  <c r="O28" i="43"/>
  <c r="O71" i="43"/>
  <c r="AA71" i="43"/>
  <c r="N74" i="43"/>
  <c r="Z74" i="43"/>
  <c r="N86" i="43"/>
  <c r="Z86" i="43"/>
  <c r="Z138" i="43"/>
  <c r="N138" i="43"/>
  <c r="P29" i="43"/>
  <c r="AB29" i="43"/>
  <c r="N59" i="43"/>
  <c r="Z59" i="43"/>
  <c r="O107" i="43"/>
  <c r="AA107" i="43"/>
  <c r="O119" i="43"/>
  <c r="AA119" i="43"/>
  <c r="N19" i="43"/>
  <c r="Z19" i="43"/>
  <c r="N131" i="43"/>
  <c r="Z131" i="43"/>
  <c r="N63" i="43"/>
  <c r="Z63" i="43"/>
  <c r="N91" i="43"/>
  <c r="Z91" i="43"/>
  <c r="N79" i="43"/>
  <c r="Z79" i="43"/>
  <c r="O136" i="43"/>
  <c r="AA136" i="43"/>
  <c r="R112" i="53"/>
  <c r="H112" i="43"/>
  <c r="O132" i="43"/>
  <c r="AA132" i="43"/>
  <c r="R89" i="53"/>
  <c r="H89" i="43"/>
  <c r="O113" i="43"/>
  <c r="AA113" i="43"/>
  <c r="I17" i="43"/>
  <c r="O93" i="43"/>
  <c r="AA93" i="43"/>
  <c r="P104" i="43"/>
  <c r="AB104" i="43"/>
  <c r="O96" i="43"/>
  <c r="AA96" i="43"/>
  <c r="AH103" i="53"/>
  <c r="R103" i="53"/>
  <c r="AH125" i="53"/>
  <c r="R125" i="53"/>
  <c r="AG58" i="53"/>
  <c r="Q58" i="53"/>
  <c r="AG62" i="53"/>
  <c r="Q62" i="53"/>
  <c r="AG22" i="53"/>
  <c r="Q22" i="53"/>
  <c r="AG102" i="53"/>
  <c r="Q102" i="53"/>
  <c r="AG90" i="53"/>
  <c r="Q90" i="53"/>
  <c r="AG26" i="53"/>
  <c r="Q26" i="53"/>
  <c r="AG134" i="53"/>
  <c r="Q134" i="53"/>
  <c r="AG35" i="53"/>
  <c r="Q35" i="53"/>
  <c r="AG99" i="53"/>
  <c r="Q99" i="53"/>
  <c r="AG115" i="53"/>
  <c r="Q115" i="53"/>
  <c r="AH97" i="53"/>
  <c r="R97" i="53"/>
  <c r="AG47" i="53"/>
  <c r="Q47" i="53"/>
  <c r="AH85" i="53"/>
  <c r="R85" i="53"/>
  <c r="AG127" i="53"/>
  <c r="Q127" i="53"/>
  <c r="AH120" i="53"/>
  <c r="R120" i="53"/>
  <c r="AH73" i="53"/>
  <c r="R73" i="53"/>
  <c r="AI133" i="53"/>
  <c r="AH93" i="53"/>
  <c r="R93" i="53"/>
  <c r="AH37" i="53"/>
  <c r="R37" i="53"/>
  <c r="AI117" i="53"/>
  <c r="AG98" i="53"/>
  <c r="Q98" i="53"/>
  <c r="AG114" i="53"/>
  <c r="Q114" i="53"/>
  <c r="AG82" i="53"/>
  <c r="Q82" i="53"/>
  <c r="AG130" i="53"/>
  <c r="Q130" i="53"/>
  <c r="AG126" i="53"/>
  <c r="Q126" i="53"/>
  <c r="AH81" i="53"/>
  <c r="R81" i="53"/>
  <c r="AH108" i="53"/>
  <c r="R108" i="53"/>
  <c r="AI41" i="53"/>
  <c r="AG23" i="53"/>
  <c r="Q23" i="53"/>
  <c r="AG135" i="53"/>
  <c r="Q135" i="53"/>
  <c r="AH116" i="53"/>
  <c r="R116" i="53"/>
  <c r="AH96" i="53"/>
  <c r="R96" i="53"/>
  <c r="AI110" i="53"/>
  <c r="AH95" i="53"/>
  <c r="R95" i="53"/>
  <c r="AI60" i="53"/>
  <c r="AG34" i="53"/>
  <c r="Q34" i="53"/>
  <c r="AG70" i="53"/>
  <c r="Q70" i="53"/>
  <c r="AH42" i="53"/>
  <c r="R42" i="53"/>
  <c r="AG78" i="53"/>
  <c r="Q78" i="53"/>
  <c r="AH28" i="53"/>
  <c r="R28" i="53"/>
  <c r="AH71" i="53"/>
  <c r="R71" i="53"/>
  <c r="AG74" i="53"/>
  <c r="Q74" i="53"/>
  <c r="AG86" i="53"/>
  <c r="Q86" i="53"/>
  <c r="AG138" i="53"/>
  <c r="Q138" i="53"/>
  <c r="AI29" i="53"/>
  <c r="AG59" i="53"/>
  <c r="Q59" i="53"/>
  <c r="AH107" i="53"/>
  <c r="R107" i="53"/>
  <c r="AH119" i="53"/>
  <c r="R119" i="53"/>
  <c r="AG19" i="53"/>
  <c r="Q19" i="53"/>
  <c r="AG131" i="53"/>
  <c r="Q131" i="53"/>
  <c r="AG63" i="53"/>
  <c r="Q63" i="53"/>
  <c r="AG91" i="53"/>
  <c r="Q91" i="53"/>
  <c r="AG79" i="53"/>
  <c r="Q79" i="53"/>
  <c r="AH136" i="53"/>
  <c r="R136" i="53"/>
  <c r="AH132" i="53"/>
  <c r="R132" i="53"/>
  <c r="AH52" i="53"/>
  <c r="R52" i="53"/>
  <c r="AH64" i="53"/>
  <c r="R64" i="53"/>
  <c r="AI45" i="53"/>
  <c r="AH105" i="53"/>
  <c r="R105" i="53"/>
  <c r="AH84" i="53"/>
  <c r="R84" i="53"/>
  <c r="AI61" i="53"/>
  <c r="AI49" i="53"/>
  <c r="AH33" i="53"/>
  <c r="R33" i="53"/>
  <c r="AI20" i="53"/>
  <c r="AH31" i="53"/>
  <c r="R31" i="53"/>
  <c r="AG50" i="53"/>
  <c r="Q50" i="53"/>
  <c r="AI72" i="53"/>
  <c r="AG43" i="53"/>
  <c r="Q43" i="53"/>
  <c r="AG75" i="53"/>
  <c r="Q75" i="53"/>
  <c r="AI56" i="53"/>
  <c r="AH68" i="53"/>
  <c r="R68" i="53"/>
  <c r="AH80" i="53"/>
  <c r="R80" i="53"/>
  <c r="AI124" i="53"/>
  <c r="AH69" i="53"/>
  <c r="R69" i="53"/>
  <c r="AG46" i="53"/>
  <c r="Q46" i="53"/>
  <c r="AG122" i="53"/>
  <c r="Q122" i="53"/>
  <c r="AH101" i="53"/>
  <c r="R101" i="53"/>
  <c r="AG30" i="53"/>
  <c r="Q30" i="53"/>
  <c r="AG94" i="53"/>
  <c r="Q94" i="53"/>
  <c r="AG67" i="53"/>
  <c r="Q67" i="53"/>
  <c r="AG83" i="53"/>
  <c r="Q83" i="53"/>
  <c r="AG111" i="53"/>
  <c r="Q111" i="53"/>
  <c r="AG39" i="53"/>
  <c r="Q39" i="53"/>
  <c r="AH53" i="53"/>
  <c r="R53" i="53"/>
  <c r="AI129" i="53"/>
  <c r="AI109" i="53"/>
  <c r="K116" i="53"/>
  <c r="I116" i="43" s="1"/>
  <c r="AI104" i="53"/>
  <c r="K80" i="53"/>
  <c r="I80" i="43" s="1"/>
  <c r="AI21" i="53"/>
  <c r="AI44" i="53"/>
  <c r="AG18" i="53"/>
  <c r="Q18" i="53"/>
  <c r="K96" i="53"/>
  <c r="I96" i="43" s="1"/>
  <c r="AI24" i="53"/>
  <c r="AG118" i="53"/>
  <c r="Q118" i="53"/>
  <c r="AG54" i="53"/>
  <c r="Q54" i="53"/>
  <c r="AH137" i="53"/>
  <c r="R137" i="53"/>
  <c r="AG66" i="53"/>
  <c r="Q66" i="53"/>
  <c r="AI76" i="53"/>
  <c r="AG38" i="53"/>
  <c r="Q38" i="53"/>
  <c r="AG87" i="53"/>
  <c r="Q87" i="53"/>
  <c r="AG51" i="53"/>
  <c r="Q51" i="53"/>
  <c r="AG123" i="53"/>
  <c r="Q123" i="53"/>
  <c r="AH16" i="53"/>
  <c r="R16" i="53"/>
  <c r="AG139" i="53"/>
  <c r="Q139" i="53"/>
  <c r="AH36" i="53"/>
  <c r="R36" i="53"/>
  <c r="AG55" i="53"/>
  <c r="Q55" i="53"/>
  <c r="AG27" i="53"/>
  <c r="Q27" i="53"/>
  <c r="AI92" i="53"/>
  <c r="AH100" i="53"/>
  <c r="R100" i="53"/>
  <c r="AI128" i="53"/>
  <c r="AH113" i="53"/>
  <c r="R113" i="53"/>
  <c r="AH77" i="53"/>
  <c r="R77" i="53"/>
  <c r="G21" i="44"/>
  <c r="G22" i="44" s="1"/>
  <c r="G16" i="44"/>
  <c r="G18" i="44" s="1"/>
  <c r="L32" i="53"/>
  <c r="AI32" i="53"/>
  <c r="K33" i="53"/>
  <c r="I266" i="24"/>
  <c r="I21" i="24" s="1"/>
  <c r="G34" i="44" s="1"/>
  <c r="G35" i="44" s="1"/>
  <c r="AJ98" i="13"/>
  <c r="I113" i="13"/>
  <c r="AB113" i="13" s="1"/>
  <c r="J79" i="13"/>
  <c r="K119" i="13"/>
  <c r="T119" i="13" s="1"/>
  <c r="O86" i="13"/>
  <c r="E126" i="13"/>
  <c r="J126" i="13" s="1"/>
  <c r="G113" i="13"/>
  <c r="AK113" i="13" s="1"/>
  <c r="AL113" i="13" s="1"/>
  <c r="I126" i="13"/>
  <c r="AB126" i="13" s="1"/>
  <c r="AJ94" i="13"/>
  <c r="K118" i="13"/>
  <c r="T118" i="13" s="1"/>
  <c r="E118" i="13"/>
  <c r="J118" i="13" s="1"/>
  <c r="G115" i="13"/>
  <c r="AK115" i="13" s="1"/>
  <c r="AL115" i="13" s="1"/>
  <c r="I118" i="13"/>
  <c r="AB118" i="13" s="1"/>
  <c r="T27" i="36"/>
  <c r="I18" i="24"/>
  <c r="H191" i="18"/>
  <c r="J212" i="31"/>
  <c r="J200" i="31"/>
  <c r="K105" i="31"/>
  <c r="J199" i="31"/>
  <c r="J184" i="31"/>
  <c r="J148" i="31"/>
  <c r="J108" i="31"/>
  <c r="L133" i="53"/>
  <c r="J133" i="43" s="1"/>
  <c r="K105" i="53"/>
  <c r="I105" i="43" s="1"/>
  <c r="L49" i="53"/>
  <c r="J49" i="43" s="1"/>
  <c r="K68" i="53"/>
  <c r="I68" i="43" s="1"/>
  <c r="F32" i="49"/>
  <c r="F33" i="49" s="1"/>
  <c r="I214" i="48"/>
  <c r="H162" i="18"/>
  <c r="H172" i="18" s="1"/>
  <c r="I124" i="13"/>
  <c r="AB124" i="13" s="1"/>
  <c r="E122" i="13"/>
  <c r="J122" i="13" s="1"/>
  <c r="G124" i="13"/>
  <c r="AK124" i="13" s="1"/>
  <c r="AL124" i="13" s="1"/>
  <c r="K112" i="13"/>
  <c r="T112" i="13" s="1"/>
  <c r="AJ92" i="13"/>
  <c r="AJ95" i="13"/>
  <c r="O80" i="13"/>
  <c r="AH80" i="13" s="1"/>
  <c r="U91" i="13"/>
  <c r="O94" i="13"/>
  <c r="P94" i="13" s="1"/>
  <c r="G129" i="13"/>
  <c r="AK129" i="13" s="1"/>
  <c r="AL129" i="13" s="1"/>
  <c r="R91" i="13"/>
  <c r="T44" i="36"/>
  <c r="T61" i="36"/>
  <c r="T69" i="36"/>
  <c r="T59" i="36"/>
  <c r="T40" i="36"/>
  <c r="T29" i="36"/>
  <c r="W8" i="36"/>
  <c r="AG8" i="36" s="1"/>
  <c r="T19" i="36"/>
  <c r="T62" i="36"/>
  <c r="T39" i="36"/>
  <c r="AC101" i="29"/>
  <c r="AC142" i="29"/>
  <c r="AC78" i="29"/>
  <c r="AC150" i="29"/>
  <c r="J127" i="53"/>
  <c r="H127" i="43" s="1"/>
  <c r="K113" i="53"/>
  <c r="I113" i="43" s="1"/>
  <c r="K64" i="53"/>
  <c r="I64" i="43" s="1"/>
  <c r="L45" i="53"/>
  <c r="J45" i="43" s="1"/>
  <c r="K93" i="53"/>
  <c r="I93" i="43" s="1"/>
  <c r="L61" i="53"/>
  <c r="AJ104" i="53"/>
  <c r="M104" i="53"/>
  <c r="K104" i="43" s="1"/>
  <c r="K73" i="53"/>
  <c r="I73" i="43" s="1"/>
  <c r="K84" i="53"/>
  <c r="I84" i="43" s="1"/>
  <c r="AH112" i="53"/>
  <c r="L17" i="53"/>
  <c r="AI17" i="53"/>
  <c r="K112" i="53"/>
  <c r="I112" i="43" s="1"/>
  <c r="AH48" i="53"/>
  <c r="AH89" i="53"/>
  <c r="AI25" i="53"/>
  <c r="L25" i="53"/>
  <c r="AI65" i="53"/>
  <c r="L65" i="53"/>
  <c r="L128" i="53"/>
  <c r="K52" i="53"/>
  <c r="AH88" i="53"/>
  <c r="K88" i="53"/>
  <c r="L40" i="53"/>
  <c r="AI40" i="53"/>
  <c r="AI57" i="53"/>
  <c r="AH121" i="53"/>
  <c r="AI106" i="53"/>
  <c r="R61" i="29"/>
  <c r="R65" i="29"/>
  <c r="R69" i="29"/>
  <c r="R73" i="29"/>
  <c r="R77" i="29"/>
  <c r="R81" i="29"/>
  <c r="R85" i="29"/>
  <c r="R89" i="29"/>
  <c r="R93" i="29"/>
  <c r="R62" i="29"/>
  <c r="R66" i="29"/>
  <c r="R70" i="29"/>
  <c r="R74" i="29"/>
  <c r="R78" i="29"/>
  <c r="R82" i="29"/>
  <c r="R86" i="29"/>
  <c r="R90" i="29"/>
  <c r="R94" i="29"/>
  <c r="R98" i="29"/>
  <c r="R102" i="29"/>
  <c r="R106" i="29"/>
  <c r="R63" i="29"/>
  <c r="R67" i="29"/>
  <c r="R71" i="29"/>
  <c r="R75" i="29"/>
  <c r="R79" i="29"/>
  <c r="R83" i="29"/>
  <c r="R87" i="29"/>
  <c r="R91" i="29"/>
  <c r="R95" i="29"/>
  <c r="R99" i="29"/>
  <c r="R103" i="29"/>
  <c r="R107" i="29"/>
  <c r="R111" i="29"/>
  <c r="R115" i="29"/>
  <c r="R119" i="29"/>
  <c r="R123" i="29"/>
  <c r="R127" i="29"/>
  <c r="R131" i="29"/>
  <c r="R135" i="29"/>
  <c r="R139" i="29"/>
  <c r="R143" i="29"/>
  <c r="R147" i="29"/>
  <c r="R151" i="29"/>
  <c r="R155" i="29"/>
  <c r="R72" i="29"/>
  <c r="R88" i="29"/>
  <c r="R100" i="29"/>
  <c r="R108" i="29"/>
  <c r="R118" i="29"/>
  <c r="R121" i="29"/>
  <c r="R124" i="29"/>
  <c r="R134" i="29"/>
  <c r="R137" i="29"/>
  <c r="R140" i="29"/>
  <c r="R150" i="29"/>
  <c r="R153" i="29"/>
  <c r="R156" i="29"/>
  <c r="R68" i="29"/>
  <c r="R84" i="29"/>
  <c r="R101" i="29"/>
  <c r="R109" i="29"/>
  <c r="R112" i="29"/>
  <c r="R122" i="29"/>
  <c r="R125" i="29"/>
  <c r="R128" i="29"/>
  <c r="R138" i="29"/>
  <c r="R141" i="29"/>
  <c r="R144" i="29"/>
  <c r="R154" i="29"/>
  <c r="R59" i="29"/>
  <c r="R57" i="29"/>
  <c r="R58" i="29"/>
  <c r="R64" i="29"/>
  <c r="R80" i="29"/>
  <c r="R96" i="29"/>
  <c r="R104" i="29"/>
  <c r="R110" i="29"/>
  <c r="R113" i="29"/>
  <c r="R116" i="29"/>
  <c r="R126" i="29"/>
  <c r="R129" i="29"/>
  <c r="R132" i="29"/>
  <c r="R142" i="29"/>
  <c r="R145" i="29"/>
  <c r="R148" i="29"/>
  <c r="R60" i="29"/>
  <c r="R76" i="29"/>
  <c r="R92" i="29"/>
  <c r="R97" i="29"/>
  <c r="R105" i="29"/>
  <c r="R114" i="29"/>
  <c r="R117" i="29"/>
  <c r="R120" i="29"/>
  <c r="R130" i="29"/>
  <c r="R133" i="29"/>
  <c r="R136" i="29"/>
  <c r="R146" i="29"/>
  <c r="R149" i="29"/>
  <c r="R152" i="29"/>
  <c r="H21" i="22"/>
  <c r="M17" i="35" s="1"/>
  <c r="AA62" i="29"/>
  <c r="AA66" i="29"/>
  <c r="AA70" i="29"/>
  <c r="AA74" i="29"/>
  <c r="AA78" i="29"/>
  <c r="AA82" i="29"/>
  <c r="AA86" i="29"/>
  <c r="AA90" i="29"/>
  <c r="AA94" i="29"/>
  <c r="AA98" i="29"/>
  <c r="AA102" i="29"/>
  <c r="AA106" i="29"/>
  <c r="AA110" i="29"/>
  <c r="AA114" i="29"/>
  <c r="AA118" i="29"/>
  <c r="AA122" i="29"/>
  <c r="AA126" i="29"/>
  <c r="AA130" i="29"/>
  <c r="AA134" i="29"/>
  <c r="AA138" i="29"/>
  <c r="AA59" i="29"/>
  <c r="AA63" i="29"/>
  <c r="AA67" i="29"/>
  <c r="AA71" i="29"/>
  <c r="AA75" i="29"/>
  <c r="AA79" i="29"/>
  <c r="AA83" i="29"/>
  <c r="AA87" i="29"/>
  <c r="AA91" i="29"/>
  <c r="AA95" i="29"/>
  <c r="AA99" i="29"/>
  <c r="AA103" i="29"/>
  <c r="AA107" i="29"/>
  <c r="AA111" i="29"/>
  <c r="AA115" i="29"/>
  <c r="AA119" i="29"/>
  <c r="AA123" i="29"/>
  <c r="AA127" i="29"/>
  <c r="AA131" i="29"/>
  <c r="AA135" i="29"/>
  <c r="AA139" i="29"/>
  <c r="AA60" i="29"/>
  <c r="AA64" i="29"/>
  <c r="AA68" i="29"/>
  <c r="AA72" i="29"/>
  <c r="AA76" i="29"/>
  <c r="AA80" i="29"/>
  <c r="AA84" i="29"/>
  <c r="AA88" i="29"/>
  <c r="AA92" i="29"/>
  <c r="AA96" i="29"/>
  <c r="AA100" i="29"/>
  <c r="AA104" i="29"/>
  <c r="AA108" i="29"/>
  <c r="AA112" i="29"/>
  <c r="AA116" i="29"/>
  <c r="AA120" i="29"/>
  <c r="AA124" i="29"/>
  <c r="AA128" i="29"/>
  <c r="AA132" i="29"/>
  <c r="AA136" i="29"/>
  <c r="AA140" i="29"/>
  <c r="AA144" i="29"/>
  <c r="AA148" i="29"/>
  <c r="AA152" i="29"/>
  <c r="AA156" i="29"/>
  <c r="AA57" i="29"/>
  <c r="AA58" i="29"/>
  <c r="AA145" i="29"/>
  <c r="AA149" i="29"/>
  <c r="AA153" i="29"/>
  <c r="AA61" i="29"/>
  <c r="AA65" i="29"/>
  <c r="AA69" i="29"/>
  <c r="AA73" i="29"/>
  <c r="AA77" i="29"/>
  <c r="AA81" i="29"/>
  <c r="AA85" i="29"/>
  <c r="AA89" i="29"/>
  <c r="AA93" i="29"/>
  <c r="AA97" i="29"/>
  <c r="AA101" i="29"/>
  <c r="AA105" i="29"/>
  <c r="AA109" i="29"/>
  <c r="AA113" i="29"/>
  <c r="AA117" i="29"/>
  <c r="AA121" i="29"/>
  <c r="AA125" i="29"/>
  <c r="AA129" i="29"/>
  <c r="AA133" i="29"/>
  <c r="AA137" i="29"/>
  <c r="AA141" i="29"/>
  <c r="AA142" i="29"/>
  <c r="AA146" i="29"/>
  <c r="AA150" i="29"/>
  <c r="AA154" i="29"/>
  <c r="AA143" i="29"/>
  <c r="AA147" i="29"/>
  <c r="AA151" i="29"/>
  <c r="AA155" i="29"/>
  <c r="J206" i="18"/>
  <c r="K206" i="18"/>
  <c r="H200" i="18"/>
  <c r="H193" i="18" s="1"/>
  <c r="H70" i="38"/>
  <c r="I276" i="18"/>
  <c r="H81" i="38" s="1"/>
  <c r="E116" i="13"/>
  <c r="J116" i="13" s="1"/>
  <c r="I71" i="38"/>
  <c r="M148" i="35"/>
  <c r="J34" i="38" s="1"/>
  <c r="N204" i="35"/>
  <c r="N221" i="35"/>
  <c r="L73" i="35"/>
  <c r="I21" i="38" s="1"/>
  <c r="J97" i="18"/>
  <c r="H7" i="22"/>
  <c r="AE48" i="13"/>
  <c r="AF48" i="13" s="1"/>
  <c r="R94" i="13"/>
  <c r="I127" i="13"/>
  <c r="AB127" i="13" s="1"/>
  <c r="O84" i="35"/>
  <c r="L20" i="38" s="1"/>
  <c r="F20" i="49"/>
  <c r="T20" i="36"/>
  <c r="T38" i="36"/>
  <c r="T31" i="36"/>
  <c r="AD53" i="13"/>
  <c r="AF53" i="13" s="1"/>
  <c r="T25" i="36"/>
  <c r="T32" i="36"/>
  <c r="T24" i="36"/>
  <c r="T17" i="36"/>
  <c r="T55" i="36"/>
  <c r="T33" i="36"/>
  <c r="T18" i="36"/>
  <c r="T57" i="36"/>
  <c r="T56" i="36"/>
  <c r="T58" i="36"/>
  <c r="T53" i="36"/>
  <c r="T48" i="36"/>
  <c r="T16" i="36"/>
  <c r="T45" i="36"/>
  <c r="F31" i="37"/>
  <c r="H10" i="22"/>
  <c r="T22" i="36"/>
  <c r="T65" i="36"/>
  <c r="T70" i="36"/>
  <c r="T46" i="36"/>
  <c r="T36" i="36"/>
  <c r="T49" i="36"/>
  <c r="T64" i="36"/>
  <c r="T41" i="36"/>
  <c r="T26" i="36"/>
  <c r="T28" i="36"/>
  <c r="T35" i="36"/>
  <c r="T47" i="36"/>
  <c r="T34" i="36"/>
  <c r="T63" i="36"/>
  <c r="T60" i="36"/>
  <c r="T30" i="36"/>
  <c r="T66" i="36"/>
  <c r="T51" i="36"/>
  <c r="T23" i="36"/>
  <c r="T52" i="36"/>
  <c r="T54" i="36"/>
  <c r="T67" i="36"/>
  <c r="T42" i="36"/>
  <c r="T21" i="36"/>
  <c r="AD8" i="36"/>
  <c r="AD56" i="36" s="1"/>
  <c r="T68" i="36"/>
  <c r="T50" i="36"/>
  <c r="T43" i="36"/>
  <c r="T37" i="36"/>
  <c r="E111" i="13"/>
  <c r="S94" i="13"/>
  <c r="I123" i="13"/>
  <c r="AB123" i="13" s="1"/>
  <c r="AE85" i="13"/>
  <c r="U94" i="13"/>
  <c r="AD81" i="13"/>
  <c r="E129" i="13"/>
  <c r="J129" i="13" s="1"/>
  <c r="AJ91" i="13"/>
  <c r="I120" i="13"/>
  <c r="AB120" i="13" s="1"/>
  <c r="E125" i="13"/>
  <c r="J125" i="13" s="1"/>
  <c r="AJ88" i="13"/>
  <c r="AB35" i="13"/>
  <c r="T35" i="13"/>
  <c r="AK90" i="13"/>
  <c r="AL90" i="13" s="1"/>
  <c r="G122" i="13"/>
  <c r="K128" i="13"/>
  <c r="T128" i="13" s="1"/>
  <c r="U96" i="13"/>
  <c r="S96" i="13"/>
  <c r="R96" i="13"/>
  <c r="O96" i="13"/>
  <c r="K99" i="13"/>
  <c r="H121" i="49" s="1"/>
  <c r="AH57" i="13"/>
  <c r="P57" i="13"/>
  <c r="AK91" i="13"/>
  <c r="AL91" i="13" s="1"/>
  <c r="G123" i="13"/>
  <c r="AK93" i="13"/>
  <c r="AL93" i="13" s="1"/>
  <c r="G125" i="13"/>
  <c r="E130" i="13"/>
  <c r="J130" i="13" s="1"/>
  <c r="K120" i="13"/>
  <c r="T120" i="13" s="1"/>
  <c r="U88" i="13"/>
  <c r="S88" i="13"/>
  <c r="R88" i="13"/>
  <c r="O88" i="13"/>
  <c r="P62" i="13"/>
  <c r="AH62" i="13"/>
  <c r="S90" i="13"/>
  <c r="R90" i="13"/>
  <c r="O90" i="13"/>
  <c r="U90" i="13"/>
  <c r="K122" i="13"/>
  <c r="T122" i="13" s="1"/>
  <c r="S97" i="13"/>
  <c r="R97" i="13"/>
  <c r="O97" i="13"/>
  <c r="U97" i="13"/>
  <c r="R92" i="13"/>
  <c r="O92" i="13"/>
  <c r="U92" i="13"/>
  <c r="S92" i="13"/>
  <c r="K124" i="13"/>
  <c r="T124" i="13" s="1"/>
  <c r="S126" i="13"/>
  <c r="R126" i="13"/>
  <c r="O126" i="13"/>
  <c r="U126" i="13"/>
  <c r="K125" i="13"/>
  <c r="T125" i="13" s="1"/>
  <c r="U93" i="13"/>
  <c r="O93" i="13"/>
  <c r="S93" i="13"/>
  <c r="R93" i="13"/>
  <c r="P65" i="13"/>
  <c r="AH65" i="13"/>
  <c r="AH91" i="13"/>
  <c r="P91" i="13"/>
  <c r="U123" i="13"/>
  <c r="O123" i="13"/>
  <c r="S123" i="13"/>
  <c r="R123" i="13"/>
  <c r="K155" i="13"/>
  <c r="T155" i="13" s="1"/>
  <c r="AH63" i="13"/>
  <c r="P63" i="13"/>
  <c r="K127" i="13"/>
  <c r="T127" i="13" s="1"/>
  <c r="U95" i="13"/>
  <c r="O95" i="13"/>
  <c r="S95" i="13"/>
  <c r="R95" i="13"/>
  <c r="K130" i="13"/>
  <c r="T130" i="13" s="1"/>
  <c r="S98" i="13"/>
  <c r="R98" i="13"/>
  <c r="O98" i="13"/>
  <c r="U98" i="13"/>
  <c r="AH59" i="13"/>
  <c r="P59" i="13"/>
  <c r="AK88" i="13"/>
  <c r="AL88" i="13" s="1"/>
  <c r="G120" i="13"/>
  <c r="P56" i="13"/>
  <c r="AH56" i="13"/>
  <c r="P66" i="13"/>
  <c r="AH66" i="13"/>
  <c r="P58" i="13"/>
  <c r="AH58" i="13"/>
  <c r="P64" i="13"/>
  <c r="AH64" i="13"/>
  <c r="AH61" i="13"/>
  <c r="P61" i="13"/>
  <c r="AK95" i="13"/>
  <c r="AL95" i="13" s="1"/>
  <c r="G127" i="13"/>
  <c r="AK89" i="13"/>
  <c r="AL89" i="13" s="1"/>
  <c r="G121" i="13"/>
  <c r="P60" i="13"/>
  <c r="AH60" i="13"/>
  <c r="I198" i="18"/>
  <c r="J205" i="18"/>
  <c r="I207" i="18"/>
  <c r="I199" i="18"/>
  <c r="I205" i="18"/>
  <c r="L95" i="18"/>
  <c r="L136" i="18"/>
  <c r="L127" i="18"/>
  <c r="L70" i="18"/>
  <c r="L108" i="29"/>
  <c r="M108" i="29" s="1"/>
  <c r="AD108" i="29" s="1"/>
  <c r="F101" i="49"/>
  <c r="J147" i="31"/>
  <c r="J128" i="31"/>
  <c r="F100" i="49"/>
  <c r="J183" i="31"/>
  <c r="I173" i="31"/>
  <c r="I229" i="31"/>
  <c r="J116" i="31"/>
  <c r="J165" i="31"/>
  <c r="F99" i="49"/>
  <c r="J149" i="31"/>
  <c r="AD15" i="13"/>
  <c r="I61" i="39"/>
  <c r="R14" i="36"/>
  <c r="G30" i="37" s="1"/>
  <c r="G8" i="37"/>
  <c r="T14" i="36"/>
  <c r="I8" i="37"/>
  <c r="R36" i="36"/>
  <c r="R30" i="36"/>
  <c r="O66" i="35"/>
  <c r="M66" i="35"/>
  <c r="J17" i="38" s="1"/>
  <c r="J103" i="31"/>
  <c r="H239" i="31"/>
  <c r="L171" i="31"/>
  <c r="J161" i="31"/>
  <c r="J177" i="31"/>
  <c r="K191" i="31"/>
  <c r="J180" i="31"/>
  <c r="L216" i="31"/>
  <c r="J160" i="31"/>
  <c r="J167" i="31"/>
  <c r="J209" i="31"/>
  <c r="I135" i="31"/>
  <c r="L217" i="31"/>
  <c r="K109" i="31"/>
  <c r="J188" i="31"/>
  <c r="L197" i="31"/>
  <c r="J163" i="31"/>
  <c r="J215" i="31"/>
  <c r="J203" i="31"/>
  <c r="AA54" i="36"/>
  <c r="R19" i="36"/>
  <c r="R26" i="36"/>
  <c r="R52" i="36"/>
  <c r="AA21" i="36"/>
  <c r="R42" i="36"/>
  <c r="R43" i="36"/>
  <c r="R40" i="36"/>
  <c r="R67" i="36"/>
  <c r="R51" i="36"/>
  <c r="R17" i="36"/>
  <c r="R69" i="36"/>
  <c r="R27" i="36"/>
  <c r="AA30" i="36"/>
  <c r="AA60" i="36"/>
  <c r="R59" i="36"/>
  <c r="R22" i="36"/>
  <c r="R41" i="36"/>
  <c r="R20" i="36"/>
  <c r="R48" i="36"/>
  <c r="R21" i="36"/>
  <c r="R44" i="36"/>
  <c r="R46" i="36"/>
  <c r="R50" i="36"/>
  <c r="R25" i="36"/>
  <c r="R54" i="36"/>
  <c r="R23" i="36"/>
  <c r="R47" i="36"/>
  <c r="R56" i="36"/>
  <c r="K102" i="35"/>
  <c r="P8" i="29"/>
  <c r="R15" i="36"/>
  <c r="AA47" i="36"/>
  <c r="AA55" i="36"/>
  <c r="R60" i="36"/>
  <c r="R68" i="36"/>
  <c r="R55" i="36"/>
  <c r="R49" i="36"/>
  <c r="R61" i="36"/>
  <c r="R34" i="36"/>
  <c r="R24" i="36"/>
  <c r="R29" i="36"/>
  <c r="R31" i="36"/>
  <c r="R63" i="36"/>
  <c r="R39" i="36"/>
  <c r="R38" i="36"/>
  <c r="R28" i="36"/>
  <c r="R66" i="36"/>
  <c r="Y10" i="53"/>
  <c r="I56" i="18"/>
  <c r="AA34" i="36"/>
  <c r="U8" i="36"/>
  <c r="J8" i="37" s="1"/>
  <c r="R65" i="36"/>
  <c r="R64" i="36"/>
  <c r="R58" i="36"/>
  <c r="R57" i="36"/>
  <c r="R53" i="36"/>
  <c r="R18" i="36"/>
  <c r="AB8" i="36"/>
  <c r="AB69" i="36" s="1"/>
  <c r="R62" i="36"/>
  <c r="R35" i="36"/>
  <c r="R32" i="36"/>
  <c r="R16" i="36"/>
  <c r="R45" i="36"/>
  <c r="R33" i="36"/>
  <c r="R37" i="36"/>
  <c r="K121" i="29"/>
  <c r="L121" i="29" s="1"/>
  <c r="M121" i="29" s="1"/>
  <c r="AD121" i="29" s="1"/>
  <c r="K117" i="29"/>
  <c r="L117" i="29" s="1"/>
  <c r="M117" i="29" s="1"/>
  <c r="AD117" i="29" s="1"/>
  <c r="K126" i="29"/>
  <c r="L153" i="29"/>
  <c r="M153" i="29" s="1"/>
  <c r="AD153" i="29" s="1"/>
  <c r="L71" i="29"/>
  <c r="M71" i="29" s="1"/>
  <c r="AD71" i="29" s="1"/>
  <c r="L141" i="29"/>
  <c r="M141" i="29" s="1"/>
  <c r="AD141" i="29" s="1"/>
  <c r="L130" i="29"/>
  <c r="M130" i="29" s="1"/>
  <c r="AD130" i="29" s="1"/>
  <c r="L97" i="29"/>
  <c r="M97" i="29" s="1"/>
  <c r="AD97" i="29" s="1"/>
  <c r="K149" i="29"/>
  <c r="K112" i="29"/>
  <c r="L69" i="29"/>
  <c r="M69" i="29" s="1"/>
  <c r="AD69" i="29" s="1"/>
  <c r="L133" i="29"/>
  <c r="M133" i="29" s="1"/>
  <c r="AD133" i="29" s="1"/>
  <c r="L66" i="29"/>
  <c r="M66" i="29" s="1"/>
  <c r="K104" i="29"/>
  <c r="K137" i="29"/>
  <c r="L154" i="29"/>
  <c r="M154" i="29" s="1"/>
  <c r="AD154" i="29" s="1"/>
  <c r="L109" i="29"/>
  <c r="M109" i="29" s="1"/>
  <c r="AD109" i="29" s="1"/>
  <c r="L103" i="29"/>
  <c r="M103" i="29" s="1"/>
  <c r="AD103" i="29" s="1"/>
  <c r="L125" i="29"/>
  <c r="M125" i="29" s="1"/>
  <c r="AD125" i="29" s="1"/>
  <c r="L138" i="29"/>
  <c r="M138" i="29" s="1"/>
  <c r="AD138" i="29" s="1"/>
  <c r="L145" i="29"/>
  <c r="M145" i="29" s="1"/>
  <c r="AD145" i="29" s="1"/>
  <c r="L65" i="29"/>
  <c r="M65" i="29" s="1"/>
  <c r="L129" i="29"/>
  <c r="M129" i="29" s="1"/>
  <c r="AD129" i="29" s="1"/>
  <c r="K118" i="29"/>
  <c r="L72" i="29"/>
  <c r="M72" i="29" s="1"/>
  <c r="AD72" i="29" s="1"/>
  <c r="L106" i="29"/>
  <c r="M106" i="29" s="1"/>
  <c r="AD106" i="29" s="1"/>
  <c r="L67" i="29"/>
  <c r="M67" i="29" s="1"/>
  <c r="AD67" i="29" s="1"/>
  <c r="L122" i="29"/>
  <c r="M122" i="29" s="1"/>
  <c r="AD122" i="29" s="1"/>
  <c r="L113" i="29"/>
  <c r="M113" i="29" s="1"/>
  <c r="AD113" i="29" s="1"/>
  <c r="L134" i="29"/>
  <c r="M134" i="29" s="1"/>
  <c r="AD134" i="29" s="1"/>
  <c r="L146" i="29"/>
  <c r="M146" i="29" s="1"/>
  <c r="AD146" i="29" s="1"/>
  <c r="L105" i="29"/>
  <c r="M105" i="29" s="1"/>
  <c r="AD105" i="29" s="1"/>
  <c r="L90" i="29"/>
  <c r="M90" i="29" s="1"/>
  <c r="AD90" i="29" s="1"/>
  <c r="L87" i="29"/>
  <c r="M87" i="29" s="1"/>
  <c r="AD87" i="29" s="1"/>
  <c r="L88" i="29"/>
  <c r="M88" i="29" s="1"/>
  <c r="AD88" i="29" s="1"/>
  <c r="K89" i="29"/>
  <c r="L96" i="29"/>
  <c r="M96" i="29" s="1"/>
  <c r="AD96" i="29" s="1"/>
  <c r="L82" i="29"/>
  <c r="M82" i="29" s="1"/>
  <c r="AD82" i="29" s="1"/>
  <c r="L86" i="29"/>
  <c r="M86" i="29" s="1"/>
  <c r="AD86" i="29" s="1"/>
  <c r="L74" i="29"/>
  <c r="M74" i="29" s="1"/>
  <c r="AD74" i="29" s="1"/>
  <c r="L77" i="29"/>
  <c r="M77" i="29" s="1"/>
  <c r="AD77" i="29" s="1"/>
  <c r="L81" i="29"/>
  <c r="M81" i="29" s="1"/>
  <c r="AD81" i="29" s="1"/>
  <c r="K79" i="29"/>
  <c r="L85" i="29"/>
  <c r="M85" i="29" s="1"/>
  <c r="AD85" i="29" s="1"/>
  <c r="L75" i="29"/>
  <c r="M75" i="29" s="1"/>
  <c r="AD75" i="29" s="1"/>
  <c r="L91" i="29"/>
  <c r="M91" i="29" s="1"/>
  <c r="AD91" i="29" s="1"/>
  <c r="K94" i="29"/>
  <c r="K83" i="29"/>
  <c r="H80" i="18"/>
  <c r="H110" i="18"/>
  <c r="AA65" i="36"/>
  <c r="AA26" i="36"/>
  <c r="AA17" i="36"/>
  <c r="AA66" i="36"/>
  <c r="H56" i="18"/>
  <c r="AA36" i="36"/>
  <c r="AA38" i="36"/>
  <c r="AA25" i="36"/>
  <c r="K148" i="18"/>
  <c r="K222" i="18" s="1"/>
  <c r="P25" i="29"/>
  <c r="AA40" i="36"/>
  <c r="AA58" i="36"/>
  <c r="AA50" i="36"/>
  <c r="AA59" i="36"/>
  <c r="AA46" i="36"/>
  <c r="AA19" i="36"/>
  <c r="AA52" i="36"/>
  <c r="AA29" i="36"/>
  <c r="AA14" i="36"/>
  <c r="F21" i="37" s="1"/>
  <c r="F39" i="37" s="1"/>
  <c r="G12" i="37" s="1"/>
  <c r="AA42" i="36"/>
  <c r="AA28" i="36"/>
  <c r="AA18" i="36"/>
  <c r="AA69" i="36"/>
  <c r="AA20" i="36"/>
  <c r="AA31" i="36"/>
  <c r="AA16" i="36"/>
  <c r="AA51" i="36"/>
  <c r="AA32" i="36"/>
  <c r="AA63" i="36"/>
  <c r="AA24" i="36"/>
  <c r="AA57" i="36"/>
  <c r="AA70" i="36"/>
  <c r="AA22" i="36"/>
  <c r="AA64" i="36"/>
  <c r="AA67" i="36"/>
  <c r="AA37" i="36"/>
  <c r="AA68" i="36"/>
  <c r="AA41" i="36"/>
  <c r="AA53" i="36"/>
  <c r="AD55" i="13"/>
  <c r="AA45" i="36"/>
  <c r="AA39" i="36"/>
  <c r="AA44" i="36"/>
  <c r="AA62" i="36"/>
  <c r="AA61" i="36"/>
  <c r="AA33" i="36"/>
  <c r="AA43" i="36"/>
  <c r="AA56" i="36"/>
  <c r="AA15" i="36"/>
  <c r="AA49" i="36"/>
  <c r="AA35" i="36"/>
  <c r="AA23" i="36"/>
  <c r="AA48" i="36"/>
  <c r="AE55" i="13"/>
  <c r="E117" i="13"/>
  <c r="J117" i="13" s="1"/>
  <c r="I116" i="13"/>
  <c r="AB116" i="13" s="1"/>
  <c r="K112" i="31"/>
  <c r="K113" i="31"/>
  <c r="J107" i="31"/>
  <c r="AE15" i="13"/>
  <c r="AL67" i="13"/>
  <c r="H262" i="13" s="1"/>
  <c r="L102" i="35"/>
  <c r="H20" i="22"/>
  <c r="G22" i="22"/>
  <c r="Q52" i="29"/>
  <c r="Q11" i="29" s="1"/>
  <c r="J122" i="18" s="1"/>
  <c r="J220" i="18" s="1"/>
  <c r="O18" i="29"/>
  <c r="H123" i="18"/>
  <c r="H124" i="18" s="1"/>
  <c r="AH53" i="13"/>
  <c r="P53" i="13"/>
  <c r="AK85" i="13"/>
  <c r="AL85" i="13" s="1"/>
  <c r="G117" i="13"/>
  <c r="P48" i="13"/>
  <c r="AH48" i="13"/>
  <c r="P52" i="13"/>
  <c r="AH52" i="13"/>
  <c r="AH51" i="13"/>
  <c r="P51" i="13"/>
  <c r="O83" i="13"/>
  <c r="K115" i="13"/>
  <c r="T115" i="13" s="1"/>
  <c r="AK80" i="13"/>
  <c r="AL80" i="13" s="1"/>
  <c r="G112" i="13"/>
  <c r="K113" i="13"/>
  <c r="T113" i="13" s="1"/>
  <c r="O81" i="13"/>
  <c r="AK87" i="13"/>
  <c r="AL87" i="13" s="1"/>
  <c r="G119" i="13"/>
  <c r="R16" i="13"/>
  <c r="R18" i="13"/>
  <c r="G118" i="13"/>
  <c r="AK86" i="13"/>
  <c r="AL86" i="13" s="1"/>
  <c r="P50" i="13"/>
  <c r="AH50" i="13"/>
  <c r="K114" i="13"/>
  <c r="T114" i="13" s="1"/>
  <c r="O82" i="13"/>
  <c r="K117" i="13"/>
  <c r="T117" i="13" s="1"/>
  <c r="O85" i="13"/>
  <c r="AK84" i="13"/>
  <c r="AL84" i="13" s="1"/>
  <c r="G116" i="13"/>
  <c r="AH49" i="13"/>
  <c r="P49" i="13"/>
  <c r="R17" i="13"/>
  <c r="P80" i="13"/>
  <c r="R23" i="13"/>
  <c r="AH87" i="13"/>
  <c r="P87" i="13"/>
  <c r="P86" i="13"/>
  <c r="AH86" i="13"/>
  <c r="K116" i="13"/>
  <c r="T116" i="13" s="1"/>
  <c r="S84" i="13"/>
  <c r="R84" i="13"/>
  <c r="U84" i="13"/>
  <c r="O84" i="13"/>
  <c r="AH55" i="13"/>
  <c r="P55" i="13"/>
  <c r="R21" i="13"/>
  <c r="P54" i="13"/>
  <c r="AH54" i="13"/>
  <c r="R22" i="13"/>
  <c r="R19" i="13"/>
  <c r="K152" i="29"/>
  <c r="K92" i="29"/>
  <c r="K114" i="29"/>
  <c r="K100" i="29"/>
  <c r="L100" i="29" s="1"/>
  <c r="M100" i="29" s="1"/>
  <c r="AD100" i="29" s="1"/>
  <c r="K116" i="29"/>
  <c r="L116" i="29" s="1"/>
  <c r="M116" i="29" s="1"/>
  <c r="AD116" i="29" s="1"/>
  <c r="K95" i="29"/>
  <c r="K131" i="29"/>
  <c r="K99" i="29"/>
  <c r="K151" i="29"/>
  <c r="K139" i="29"/>
  <c r="K73" i="29"/>
  <c r="K135" i="29"/>
  <c r="Z52" i="29"/>
  <c r="Q26" i="29" s="1"/>
  <c r="L139" i="35" s="1"/>
  <c r="Y52" i="29"/>
  <c r="P26" i="29" s="1"/>
  <c r="Y158" i="29"/>
  <c r="Y54" i="29" s="1"/>
  <c r="K143" i="29"/>
  <c r="Z53" i="29"/>
  <c r="Q29" i="29" s="1"/>
  <c r="L140" i="35" s="1"/>
  <c r="J52" i="29"/>
  <c r="K123" i="29"/>
  <c r="K111" i="29"/>
  <c r="K119" i="29"/>
  <c r="K147" i="29"/>
  <c r="K127" i="29"/>
  <c r="P35" i="29"/>
  <c r="O28" i="29"/>
  <c r="O30" i="29" s="1"/>
  <c r="O8" i="29"/>
  <c r="X50" i="29"/>
  <c r="E35" i="22"/>
  <c r="J53" i="29"/>
  <c r="O12" i="36"/>
  <c r="S48" i="36"/>
  <c r="S68" i="36"/>
  <c r="S28" i="36"/>
  <c r="S47" i="36"/>
  <c r="S36" i="36"/>
  <c r="S46" i="36"/>
  <c r="S21" i="36"/>
  <c r="S30" i="36"/>
  <c r="S62" i="36"/>
  <c r="S25" i="36"/>
  <c r="S45" i="36"/>
  <c r="S57" i="36"/>
  <c r="S33" i="36"/>
  <c r="S34" i="36"/>
  <c r="S26" i="36"/>
  <c r="S40" i="36"/>
  <c r="S67" i="36"/>
  <c r="S23" i="36"/>
  <c r="S59" i="36"/>
  <c r="S56" i="36"/>
  <c r="S41" i="36"/>
  <c r="S65" i="36"/>
  <c r="S64" i="36"/>
  <c r="S61" i="36"/>
  <c r="S53" i="36"/>
  <c r="S58" i="36"/>
  <c r="S70" i="36"/>
  <c r="S32" i="36"/>
  <c r="AC8" i="36"/>
  <c r="S49" i="36"/>
  <c r="S55" i="36"/>
  <c r="S66" i="36"/>
  <c r="S16" i="36"/>
  <c r="S29" i="36"/>
  <c r="S22" i="36"/>
  <c r="S43" i="36"/>
  <c r="S18" i="36"/>
  <c r="S44" i="36"/>
  <c r="S19" i="36"/>
  <c r="S31" i="36"/>
  <c r="S17" i="36"/>
  <c r="S50" i="36"/>
  <c r="S24" i="36"/>
  <c r="S69" i="36"/>
  <c r="S54" i="36"/>
  <c r="S52" i="36"/>
  <c r="S14" i="36"/>
  <c r="H30" i="37" s="1"/>
  <c r="S38" i="36"/>
  <c r="S39" i="36"/>
  <c r="S60" i="36"/>
  <c r="S51" i="36"/>
  <c r="S63" i="36"/>
  <c r="V8" i="36"/>
  <c r="K8" i="37" s="1"/>
  <c r="S15" i="36"/>
  <c r="S35" i="36"/>
  <c r="S37" i="36"/>
  <c r="S20" i="36"/>
  <c r="S42" i="36"/>
  <c r="S27" i="36"/>
  <c r="K120" i="53"/>
  <c r="I120" i="43" s="1"/>
  <c r="K89" i="53"/>
  <c r="I89" i="43" s="1"/>
  <c r="L106" i="53"/>
  <c r="K48" i="53"/>
  <c r="K121" i="53"/>
  <c r="I121" i="43" s="1"/>
  <c r="L56" i="53"/>
  <c r="K100" i="53"/>
  <c r="I100" i="43" s="1"/>
  <c r="L109" i="53"/>
  <c r="L129" i="53"/>
  <c r="K132" i="53"/>
  <c r="I132" i="43" s="1"/>
  <c r="K53" i="53"/>
  <c r="I53" i="43" s="1"/>
  <c r="K136" i="53"/>
  <c r="I136" i="43" s="1"/>
  <c r="K85" i="53"/>
  <c r="I85" i="43" s="1"/>
  <c r="L92" i="53"/>
  <c r="J35" i="53"/>
  <c r="H35" i="43" s="1"/>
  <c r="J99" i="53"/>
  <c r="H99" i="43" s="1"/>
  <c r="J115" i="53"/>
  <c r="H115" i="43" s="1"/>
  <c r="J139" i="53"/>
  <c r="H139" i="43" s="1"/>
  <c r="J135" i="53"/>
  <c r="H135" i="43" s="1"/>
  <c r="J43" i="53"/>
  <c r="H43" i="43" s="1"/>
  <c r="J111" i="53"/>
  <c r="H111" i="43" s="1"/>
  <c r="J87" i="53"/>
  <c r="H87" i="43" s="1"/>
  <c r="J67" i="53"/>
  <c r="H67" i="43" s="1"/>
  <c r="J75" i="53"/>
  <c r="H75" i="43" s="1"/>
  <c r="J51" i="53"/>
  <c r="H51" i="43" s="1"/>
  <c r="K107" i="53"/>
  <c r="I107" i="43" s="1"/>
  <c r="J123" i="53"/>
  <c r="H123" i="43" s="1"/>
  <c r="K119" i="53"/>
  <c r="I119" i="43" s="1"/>
  <c r="K16" i="53"/>
  <c r="I16" i="43" s="1"/>
  <c r="J19" i="53"/>
  <c r="H19" i="43" s="1"/>
  <c r="J63" i="53"/>
  <c r="H63" i="43" s="1"/>
  <c r="J47" i="53"/>
  <c r="H47" i="43" s="1"/>
  <c r="J79" i="53"/>
  <c r="H79" i="43" s="1"/>
  <c r="K108" i="53"/>
  <c r="I108" i="43" s="1"/>
  <c r="K97" i="53"/>
  <c r="I97" i="43" s="1"/>
  <c r="J23" i="53"/>
  <c r="H23" i="43" s="1"/>
  <c r="J55" i="53"/>
  <c r="H55" i="43" s="1"/>
  <c r="J39" i="53"/>
  <c r="H39" i="43" s="1"/>
  <c r="J27" i="53"/>
  <c r="H27" i="43" s="1"/>
  <c r="L29" i="53"/>
  <c r="J59" i="53"/>
  <c r="H59" i="43" s="1"/>
  <c r="J83" i="53"/>
  <c r="H83" i="43" s="1"/>
  <c r="L41" i="53"/>
  <c r="L57" i="53"/>
  <c r="J131" i="53"/>
  <c r="H131" i="43" s="1"/>
  <c r="K36" i="53"/>
  <c r="I36" i="43" s="1"/>
  <c r="J91" i="53"/>
  <c r="H91" i="43" s="1"/>
  <c r="J46" i="53"/>
  <c r="H46" i="43" s="1"/>
  <c r="J62" i="53"/>
  <c r="H62" i="43" s="1"/>
  <c r="L24" i="53"/>
  <c r="J22" i="53"/>
  <c r="H22" i="43" s="1"/>
  <c r="J118" i="53"/>
  <c r="H118" i="43" s="1"/>
  <c r="L76" i="53"/>
  <c r="J134" i="53"/>
  <c r="H134" i="43" s="1"/>
  <c r="J58" i="53"/>
  <c r="H58" i="43" s="1"/>
  <c r="J114" i="53"/>
  <c r="H114" i="43" s="1"/>
  <c r="J122" i="53"/>
  <c r="H122" i="43" s="1"/>
  <c r="K28" i="53"/>
  <c r="I28" i="43" s="1"/>
  <c r="K137" i="53"/>
  <c r="I137" i="43" s="1"/>
  <c r="J26" i="53"/>
  <c r="H26" i="43" s="1"/>
  <c r="J138" i="53"/>
  <c r="H138" i="43" s="1"/>
  <c r="J38" i="53"/>
  <c r="H38" i="43" s="1"/>
  <c r="J34" i="53"/>
  <c r="H34" i="43" s="1"/>
  <c r="K31" i="53"/>
  <c r="I31" i="43" s="1"/>
  <c r="J102" i="53"/>
  <c r="H102" i="43" s="1"/>
  <c r="J54" i="53"/>
  <c r="H54" i="43" s="1"/>
  <c r="K71" i="53"/>
  <c r="I71" i="43" s="1"/>
  <c r="I141" i="53"/>
  <c r="I12" i="53" s="1"/>
  <c r="J70" i="53"/>
  <c r="H70" i="43" s="1"/>
  <c r="K42" i="53"/>
  <c r="I42" i="43" s="1"/>
  <c r="J78" i="53"/>
  <c r="H78" i="43" s="1"/>
  <c r="K101" i="53"/>
  <c r="I101" i="43" s="1"/>
  <c r="J30" i="53"/>
  <c r="H30" i="43" s="1"/>
  <c r="AH15" i="53"/>
  <c r="J130" i="53"/>
  <c r="H130" i="43" s="1"/>
  <c r="J66" i="53"/>
  <c r="H66" i="43" s="1"/>
  <c r="J126" i="53"/>
  <c r="H126" i="43" s="1"/>
  <c r="AF141" i="53"/>
  <c r="AF12" i="53" s="1"/>
  <c r="J18" i="53"/>
  <c r="H18" i="43" s="1"/>
  <c r="J98" i="53"/>
  <c r="H98" i="43" s="1"/>
  <c r="J82" i="53"/>
  <c r="H82" i="43" s="1"/>
  <c r="J90" i="53"/>
  <c r="H90" i="43" s="1"/>
  <c r="J74" i="53"/>
  <c r="H74" i="43" s="1"/>
  <c r="J50" i="53"/>
  <c r="H50" i="43" s="1"/>
  <c r="P141" i="53"/>
  <c r="P12" i="53" s="1"/>
  <c r="J86" i="53"/>
  <c r="H86" i="43" s="1"/>
  <c r="J94" i="53"/>
  <c r="H94" i="43" s="1"/>
  <c r="L72" i="53"/>
  <c r="K81" i="53"/>
  <c r="I81" i="43" s="1"/>
  <c r="J201" i="31"/>
  <c r="J168" i="31"/>
  <c r="J175" i="31"/>
  <c r="I235" i="31"/>
  <c r="I153" i="31"/>
  <c r="H68" i="31"/>
  <c r="H66" i="31"/>
  <c r="H67" i="31"/>
  <c r="K115" i="31"/>
  <c r="H61" i="31"/>
  <c r="K33" i="35" s="1"/>
  <c r="K22" i="24" s="1"/>
  <c r="I205" i="31"/>
  <c r="J237" i="31"/>
  <c r="I111" i="31"/>
  <c r="J193" i="31"/>
  <c r="I195" i="31"/>
  <c r="I208" i="31"/>
  <c r="I176" i="31"/>
  <c r="I129" i="31"/>
  <c r="I192" i="31"/>
  <c r="J169" i="31"/>
  <c r="I117" i="31"/>
  <c r="J207" i="31"/>
  <c r="I151" i="31"/>
  <c r="I179" i="31"/>
  <c r="K172" i="31"/>
  <c r="I152" i="31"/>
  <c r="I104" i="31"/>
  <c r="K212" i="31"/>
  <c r="J224" i="31"/>
  <c r="I228" i="31"/>
  <c r="I189" i="31"/>
  <c r="J196" i="31"/>
  <c r="J173" i="31"/>
  <c r="K128" i="31"/>
  <c r="K147" i="31"/>
  <c r="J127" i="31"/>
  <c r="J187" i="31"/>
  <c r="J213" i="31"/>
  <c r="I232" i="31"/>
  <c r="J231" i="31"/>
  <c r="I227" i="31"/>
  <c r="J164" i="31"/>
  <c r="J185" i="31"/>
  <c r="J181" i="31"/>
  <c r="K204" i="31"/>
  <c r="I233" i="31"/>
  <c r="I223" i="31"/>
  <c r="I219" i="31"/>
  <c r="I211" i="31"/>
  <c r="I221" i="31"/>
  <c r="AD47" i="13"/>
  <c r="AK79" i="13"/>
  <c r="G111" i="13"/>
  <c r="AF24" i="13"/>
  <c r="AF18" i="13"/>
  <c r="S18" i="13" s="1"/>
  <c r="AF25" i="13"/>
  <c r="Q53" i="29"/>
  <c r="D59" i="22"/>
  <c r="AF27" i="13"/>
  <c r="AF19" i="13"/>
  <c r="S19" i="13" s="1"/>
  <c r="AF21" i="13"/>
  <c r="S21" i="13" s="1"/>
  <c r="AF16" i="13"/>
  <c r="S16" i="13" s="1"/>
  <c r="AF26" i="13"/>
  <c r="AF33" i="13"/>
  <c r="AF17" i="13"/>
  <c r="S17" i="13" s="1"/>
  <c r="AF66" i="13"/>
  <c r="AF64" i="13"/>
  <c r="AF32" i="13"/>
  <c r="AD88" i="13"/>
  <c r="AE88" i="13"/>
  <c r="AJ97" i="13"/>
  <c r="AF34" i="13"/>
  <c r="AF22" i="13"/>
  <c r="S22" i="13" s="1"/>
  <c r="AF20" i="13"/>
  <c r="AF29" i="13"/>
  <c r="AD58" i="13"/>
  <c r="AE58" i="13"/>
  <c r="AE95" i="13"/>
  <c r="AD95" i="13"/>
  <c r="AD62" i="13"/>
  <c r="AE62" i="13"/>
  <c r="AD91" i="13"/>
  <c r="AE91" i="13"/>
  <c r="AF30" i="13"/>
  <c r="AF28" i="13"/>
  <c r="AF23" i="13"/>
  <c r="S23" i="13" s="1"/>
  <c r="AE56" i="13"/>
  <c r="AD56" i="13"/>
  <c r="AJ93" i="13"/>
  <c r="AD57" i="13"/>
  <c r="AE57" i="13"/>
  <c r="AD65" i="13"/>
  <c r="AE65" i="13"/>
  <c r="AJ118" i="13"/>
  <c r="AJ112" i="13"/>
  <c r="AJ82" i="13"/>
  <c r="AJ83" i="13"/>
  <c r="AE52" i="13"/>
  <c r="AD52" i="13"/>
  <c r="AD96" i="13"/>
  <c r="AE96" i="13"/>
  <c r="AF60" i="13"/>
  <c r="AJ89" i="13"/>
  <c r="AJ113" i="13"/>
  <c r="AJ84" i="13"/>
  <c r="AD49" i="13"/>
  <c r="AE49" i="13"/>
  <c r="AJ128" i="13"/>
  <c r="AJ90" i="13"/>
  <c r="AJ119" i="13"/>
  <c r="AJ117" i="13"/>
  <c r="AJ130" i="13"/>
  <c r="AD59" i="13"/>
  <c r="AE59" i="13"/>
  <c r="AD92" i="13"/>
  <c r="AE92" i="13"/>
  <c r="AJ86" i="13"/>
  <c r="AD80" i="13"/>
  <c r="AE80" i="13"/>
  <c r="AD94" i="13"/>
  <c r="AE94" i="13"/>
  <c r="AF31" i="13"/>
  <c r="AD63" i="13"/>
  <c r="AE63" i="13"/>
  <c r="AD98" i="13"/>
  <c r="AE98" i="13"/>
  <c r="AD51" i="13"/>
  <c r="AE51" i="13"/>
  <c r="AE61" i="13"/>
  <c r="AD61" i="13"/>
  <c r="J158" i="29"/>
  <c r="J54" i="29" s="1"/>
  <c r="K80" i="29"/>
  <c r="K140" i="29"/>
  <c r="K107" i="29"/>
  <c r="K76" i="29"/>
  <c r="K132" i="29"/>
  <c r="K136" i="29"/>
  <c r="K102" i="29"/>
  <c r="K128" i="29"/>
  <c r="K144" i="29"/>
  <c r="K148" i="29"/>
  <c r="K115" i="29"/>
  <c r="K70" i="29"/>
  <c r="K84" i="29"/>
  <c r="K120" i="29"/>
  <c r="P11" i="29"/>
  <c r="K155" i="29"/>
  <c r="K98" i="29"/>
  <c r="K124" i="29"/>
  <c r="K110" i="29"/>
  <c r="K68" i="29"/>
  <c r="Q158" i="29"/>
  <c r="Q54" i="29" s="1"/>
  <c r="O111" i="13"/>
  <c r="P35" i="13"/>
  <c r="I111" i="13"/>
  <c r="AJ79" i="13"/>
  <c r="AH79" i="13"/>
  <c r="P79" i="13"/>
  <c r="P47" i="13"/>
  <c r="AH47" i="13"/>
  <c r="O67" i="13"/>
  <c r="I162" i="13"/>
  <c r="AB162" i="13" s="1"/>
  <c r="E147" i="13"/>
  <c r="J147" i="13" s="1"/>
  <c r="I129" i="13"/>
  <c r="AB129" i="13" s="1"/>
  <c r="I114" i="13"/>
  <c r="AB114" i="13" s="1"/>
  <c r="E114" i="13"/>
  <c r="J114" i="13" s="1"/>
  <c r="I149" i="13"/>
  <c r="AB149" i="13" s="1"/>
  <c r="G162" i="13"/>
  <c r="AK162" i="13" s="1"/>
  <c r="AL162" i="13" s="1"/>
  <c r="I115" i="13"/>
  <c r="AB115" i="13" s="1"/>
  <c r="G147" i="13"/>
  <c r="AK147" i="13" s="1"/>
  <c r="AL147" i="13" s="1"/>
  <c r="K158" i="13"/>
  <c r="T158" i="13" s="1"/>
  <c r="L124" i="53"/>
  <c r="K103" i="53"/>
  <c r="I103" i="43" s="1"/>
  <c r="K95" i="53"/>
  <c r="I95" i="43" s="1"/>
  <c r="J229" i="31"/>
  <c r="N203" i="35"/>
  <c r="L110" i="53"/>
  <c r="L117" i="53"/>
  <c r="AQ15" i="53"/>
  <c r="AP141" i="53"/>
  <c r="AP12" i="53" s="1"/>
  <c r="I144" i="13"/>
  <c r="AB144" i="13" s="1"/>
  <c r="I151" i="13"/>
  <c r="AB151" i="13" s="1"/>
  <c r="K125" i="53"/>
  <c r="I125" i="43" s="1"/>
  <c r="K37" i="53"/>
  <c r="I37" i="43" s="1"/>
  <c r="J220" i="31"/>
  <c r="I122" i="13"/>
  <c r="AB122" i="13" s="1"/>
  <c r="L21" i="53"/>
  <c r="K93" i="29"/>
  <c r="AG15" i="43"/>
  <c r="AF141" i="43"/>
  <c r="AF12" i="43" s="1"/>
  <c r="L60" i="53"/>
  <c r="J236" i="31"/>
  <c r="I150" i="13"/>
  <c r="AB150" i="13" s="1"/>
  <c r="K156" i="29"/>
  <c r="K69" i="53"/>
  <c r="I69" i="43" s="1"/>
  <c r="J225" i="31"/>
  <c r="L20" i="53"/>
  <c r="Y15" i="53"/>
  <c r="X141" i="53"/>
  <c r="X12" i="53" s="1"/>
  <c r="L44" i="53"/>
  <c r="Q12" i="36"/>
  <c r="W46" i="36"/>
  <c r="J43" i="39"/>
  <c r="I45" i="39"/>
  <c r="J14" i="39"/>
  <c r="H37" i="40" s="1"/>
  <c r="J19" i="39"/>
  <c r="J20" i="39"/>
  <c r="J47" i="39"/>
  <c r="I54" i="39"/>
  <c r="J16" i="39"/>
  <c r="H38" i="40" s="1"/>
  <c r="J21" i="39"/>
  <c r="J19" i="48"/>
  <c r="M83" i="35"/>
  <c r="L89" i="35"/>
  <c r="K221" i="35"/>
  <c r="K203" i="35"/>
  <c r="K79" i="35"/>
  <c r="K206" i="35" s="1"/>
  <c r="K205" i="35"/>
  <c r="K132" i="35"/>
  <c r="H33" i="38" s="1"/>
  <c r="M127" i="35"/>
  <c r="L129" i="35"/>
  <c r="N22" i="35"/>
  <c r="M26" i="35"/>
  <c r="L122" i="35"/>
  <c r="E121" i="13"/>
  <c r="J121" i="13" s="1"/>
  <c r="G160" i="13"/>
  <c r="AK160" i="13" s="1"/>
  <c r="AL160" i="13" s="1"/>
  <c r="G146" i="13"/>
  <c r="AK146" i="13" s="1"/>
  <c r="AL146" i="13" s="1"/>
  <c r="L68" i="18"/>
  <c r="K73" i="18"/>
  <c r="H100" i="18"/>
  <c r="I76" i="18"/>
  <c r="I88" i="18"/>
  <c r="I254" i="18" s="1"/>
  <c r="J83" i="18"/>
  <c r="K97" i="18"/>
  <c r="L92" i="18"/>
  <c r="K61" i="18"/>
  <c r="J64" i="18"/>
  <c r="I121" i="13"/>
  <c r="AB121" i="13" s="1"/>
  <c r="E127" i="13"/>
  <c r="J127" i="13" s="1"/>
  <c r="E123" i="13"/>
  <c r="J123" i="13" s="1"/>
  <c r="E120" i="13"/>
  <c r="J120" i="13" s="1"/>
  <c r="E124" i="13"/>
  <c r="J124" i="13" s="1"/>
  <c r="E144" i="13"/>
  <c r="J144" i="13" s="1"/>
  <c r="G126" i="13"/>
  <c r="AK126" i="13" s="1"/>
  <c r="AL126" i="13" s="1"/>
  <c r="I158" i="13"/>
  <c r="AB158" i="13" s="1"/>
  <c r="E113" i="13"/>
  <c r="J113" i="13" s="1"/>
  <c r="E119" i="13"/>
  <c r="J119" i="13" s="1"/>
  <c r="I160" i="13"/>
  <c r="AB160" i="13" s="1"/>
  <c r="K129" i="13"/>
  <c r="T129" i="13" s="1"/>
  <c r="I145" i="13"/>
  <c r="AB145" i="13" s="1"/>
  <c r="E158" i="13"/>
  <c r="J158" i="13" s="1"/>
  <c r="E128" i="13"/>
  <c r="J128" i="13" s="1"/>
  <c r="I125" i="13"/>
  <c r="AB125" i="13" s="1"/>
  <c r="P20" i="29"/>
  <c r="O13" i="29"/>
  <c r="O15" i="29" s="1"/>
  <c r="K143" i="13"/>
  <c r="I11" i="22"/>
  <c r="N16" i="35" s="1"/>
  <c r="I41" i="37"/>
  <c r="AI77" i="53" l="1"/>
  <c r="U121" i="13"/>
  <c r="H104" i="49"/>
  <c r="I104" i="49"/>
  <c r="R121" i="13"/>
  <c r="K153" i="13"/>
  <c r="T153" i="13" s="1"/>
  <c r="G145" i="13"/>
  <c r="AK145" i="13" s="1"/>
  <c r="AL145" i="13" s="1"/>
  <c r="P89" i="13"/>
  <c r="S121" i="13"/>
  <c r="AB79" i="13"/>
  <c r="T79" i="13" s="1"/>
  <c r="O121" i="13"/>
  <c r="P121" i="13" s="1"/>
  <c r="O221" i="35"/>
  <c r="L17" i="38"/>
  <c r="I27" i="38"/>
  <c r="K261" i="18"/>
  <c r="S104" i="53"/>
  <c r="K15" i="18"/>
  <c r="I23" i="24"/>
  <c r="S128" i="53"/>
  <c r="S92" i="53"/>
  <c r="S76" i="53"/>
  <c r="K108" i="31"/>
  <c r="AD65" i="29"/>
  <c r="K165" i="31"/>
  <c r="S15" i="53"/>
  <c r="K184" i="31"/>
  <c r="S44" i="53"/>
  <c r="S109" i="53"/>
  <c r="S56" i="53"/>
  <c r="S20" i="53"/>
  <c r="S49" i="53"/>
  <c r="S45" i="53"/>
  <c r="S41" i="53"/>
  <c r="S117" i="53"/>
  <c r="S106" i="53"/>
  <c r="S57" i="53"/>
  <c r="S25" i="53"/>
  <c r="J253" i="18"/>
  <c r="S32" i="53"/>
  <c r="K259" i="18"/>
  <c r="K200" i="31"/>
  <c r="L96" i="53"/>
  <c r="O112" i="13"/>
  <c r="P112" i="13" s="1"/>
  <c r="K103" i="31"/>
  <c r="K148" i="31"/>
  <c r="K199" i="31"/>
  <c r="S21" i="53"/>
  <c r="S129" i="53"/>
  <c r="S124" i="53"/>
  <c r="S72" i="53"/>
  <c r="S61" i="53"/>
  <c r="S29" i="53"/>
  <c r="S60" i="53"/>
  <c r="S110" i="53"/>
  <c r="S133" i="53"/>
  <c r="S40" i="53"/>
  <c r="J261" i="18"/>
  <c r="J252" i="18"/>
  <c r="AD66" i="29"/>
  <c r="N222" i="35"/>
  <c r="O204" i="35"/>
  <c r="H54" i="49"/>
  <c r="I65" i="39"/>
  <c r="H52" i="40" s="1"/>
  <c r="G29" i="44"/>
  <c r="G31" i="44" s="1"/>
  <c r="S24" i="53"/>
  <c r="S17" i="53"/>
  <c r="S65" i="53"/>
  <c r="L260" i="18"/>
  <c r="P42" i="43"/>
  <c r="AB42" i="43"/>
  <c r="O38" i="43"/>
  <c r="AA38" i="43"/>
  <c r="O134" i="43"/>
  <c r="AA134" i="43"/>
  <c r="J24" i="43"/>
  <c r="J41" i="43"/>
  <c r="P97" i="43"/>
  <c r="AB97" i="43"/>
  <c r="O123" i="43"/>
  <c r="AA123" i="43"/>
  <c r="O135" i="43"/>
  <c r="AA135" i="43"/>
  <c r="O35" i="43"/>
  <c r="AA35" i="43"/>
  <c r="P100" i="43"/>
  <c r="AB100" i="43"/>
  <c r="S48" i="53"/>
  <c r="I48" i="43"/>
  <c r="Q45" i="43"/>
  <c r="AC45" i="43"/>
  <c r="P105" i="43"/>
  <c r="AB105" i="43"/>
  <c r="P106" i="43"/>
  <c r="AB106" i="43"/>
  <c r="P57" i="43"/>
  <c r="AB57" i="43"/>
  <c r="P25" i="43"/>
  <c r="AB25" i="43"/>
  <c r="J117" i="43"/>
  <c r="P95" i="43"/>
  <c r="AB95" i="43"/>
  <c r="P81" i="43"/>
  <c r="AB81" i="43"/>
  <c r="O82" i="43"/>
  <c r="AA82" i="43"/>
  <c r="O30" i="43"/>
  <c r="AA30" i="43"/>
  <c r="O102" i="43"/>
  <c r="AA102" i="43"/>
  <c r="AA122" i="43"/>
  <c r="O122" i="43"/>
  <c r="J96" i="43"/>
  <c r="P36" i="43"/>
  <c r="AB36" i="43"/>
  <c r="O39" i="43"/>
  <c r="AA39" i="43"/>
  <c r="O19" i="43"/>
  <c r="AA19" i="43"/>
  <c r="O87" i="43"/>
  <c r="AA87" i="43"/>
  <c r="P132" i="43"/>
  <c r="AB132" i="43"/>
  <c r="J106" i="43"/>
  <c r="J77" i="43"/>
  <c r="S52" i="53"/>
  <c r="I52" i="43"/>
  <c r="P112" i="43"/>
  <c r="AB112" i="43"/>
  <c r="P64" i="43"/>
  <c r="AB64" i="43"/>
  <c r="P80" i="43"/>
  <c r="AB80" i="43"/>
  <c r="AA88" i="43"/>
  <c r="O88" i="43"/>
  <c r="J20" i="43"/>
  <c r="J110" i="43"/>
  <c r="P103" i="43"/>
  <c r="AB103" i="43"/>
  <c r="J72" i="43"/>
  <c r="O50" i="43"/>
  <c r="AA50" i="43"/>
  <c r="O98" i="43"/>
  <c r="AA98" i="43"/>
  <c r="AA66" i="43"/>
  <c r="O66" i="43"/>
  <c r="P101" i="43"/>
  <c r="AB101" i="43"/>
  <c r="P31" i="43"/>
  <c r="AB31" i="43"/>
  <c r="AA26" i="43"/>
  <c r="O26" i="43"/>
  <c r="O114" i="43"/>
  <c r="AA114" i="43"/>
  <c r="AA118" i="43"/>
  <c r="O118" i="43"/>
  <c r="O62" i="43"/>
  <c r="AA62" i="43"/>
  <c r="O131" i="43"/>
  <c r="AA131" i="43"/>
  <c r="O59" i="43"/>
  <c r="AA59" i="43"/>
  <c r="O55" i="43"/>
  <c r="AA55" i="43"/>
  <c r="O79" i="43"/>
  <c r="AA79" i="43"/>
  <c r="P16" i="43"/>
  <c r="AB16" i="43"/>
  <c r="O51" i="43"/>
  <c r="AA51" i="43"/>
  <c r="O111" i="43"/>
  <c r="AA111" i="43"/>
  <c r="AA115" i="43"/>
  <c r="O115" i="43"/>
  <c r="P85" i="43"/>
  <c r="AB85" i="43"/>
  <c r="J129" i="43"/>
  <c r="P121" i="43"/>
  <c r="AB121" i="43"/>
  <c r="P89" i="43"/>
  <c r="AB89" i="43"/>
  <c r="J40" i="43"/>
  <c r="J128" i="43"/>
  <c r="L116" i="53"/>
  <c r="J61" i="43"/>
  <c r="AB113" i="43"/>
  <c r="P113" i="43"/>
  <c r="P68" i="43"/>
  <c r="AB68" i="43"/>
  <c r="P96" i="43"/>
  <c r="AB96" i="43"/>
  <c r="AC104" i="43"/>
  <c r="Q104" i="43"/>
  <c r="P40" i="43"/>
  <c r="AB40" i="43"/>
  <c r="O48" i="43"/>
  <c r="AA48" i="43"/>
  <c r="P69" i="43"/>
  <c r="AB69" i="43"/>
  <c r="J60" i="43"/>
  <c r="J21" i="43"/>
  <c r="P125" i="43"/>
  <c r="AB125" i="43"/>
  <c r="O86" i="43"/>
  <c r="AA86" i="43"/>
  <c r="O90" i="43"/>
  <c r="AA90" i="43"/>
  <c r="O54" i="43"/>
  <c r="AA54" i="43"/>
  <c r="P28" i="43"/>
  <c r="AB28" i="43"/>
  <c r="O91" i="43"/>
  <c r="AA91" i="43"/>
  <c r="O27" i="43"/>
  <c r="AA27" i="43"/>
  <c r="O63" i="43"/>
  <c r="AA63" i="43"/>
  <c r="O67" i="43"/>
  <c r="AA67" i="43"/>
  <c r="P53" i="43"/>
  <c r="AB53" i="43"/>
  <c r="R104" i="43"/>
  <c r="AD104" i="43"/>
  <c r="P116" i="43"/>
  <c r="AB116" i="43"/>
  <c r="O126" i="43"/>
  <c r="AA126" i="43"/>
  <c r="O70" i="43"/>
  <c r="AA70" i="43"/>
  <c r="O138" i="43"/>
  <c r="AA138" i="43"/>
  <c r="J76" i="43"/>
  <c r="O83" i="43"/>
  <c r="AA83" i="43"/>
  <c r="P108" i="43"/>
  <c r="AB108" i="43"/>
  <c r="P107" i="43"/>
  <c r="AB107" i="43"/>
  <c r="O139" i="43"/>
  <c r="AA139" i="43"/>
  <c r="J92" i="43"/>
  <c r="J56" i="43"/>
  <c r="J25" i="43"/>
  <c r="P84" i="43"/>
  <c r="AB84" i="43"/>
  <c r="Q133" i="43"/>
  <c r="AC133" i="43"/>
  <c r="S33" i="53"/>
  <c r="I33" i="43"/>
  <c r="AA121" i="43"/>
  <c r="O121" i="43"/>
  <c r="P32" i="43"/>
  <c r="AB32" i="43"/>
  <c r="S77" i="53"/>
  <c r="I77" i="43"/>
  <c r="J44" i="43"/>
  <c r="P37" i="43"/>
  <c r="AB37" i="43"/>
  <c r="J124" i="43"/>
  <c r="O94" i="43"/>
  <c r="AA94" i="43"/>
  <c r="O74" i="43"/>
  <c r="AA74" i="43"/>
  <c r="O18" i="43"/>
  <c r="AA18" i="43"/>
  <c r="O130" i="43"/>
  <c r="AA130" i="43"/>
  <c r="AA78" i="43"/>
  <c r="O78" i="43"/>
  <c r="P71" i="43"/>
  <c r="AB71" i="43"/>
  <c r="AA34" i="43"/>
  <c r="O34" i="43"/>
  <c r="AB137" i="43"/>
  <c r="P137" i="43"/>
  <c r="O58" i="43"/>
  <c r="AA58" i="43"/>
  <c r="O22" i="43"/>
  <c r="AA22" i="43"/>
  <c r="O46" i="43"/>
  <c r="AA46" i="43"/>
  <c r="J57" i="43"/>
  <c r="J29" i="43"/>
  <c r="O23" i="43"/>
  <c r="AA23" i="43"/>
  <c r="O47" i="43"/>
  <c r="AA47" i="43"/>
  <c r="AB119" i="43"/>
  <c r="P119" i="43"/>
  <c r="O75" i="43"/>
  <c r="AA75" i="43"/>
  <c r="O43" i="43"/>
  <c r="AA43" i="43"/>
  <c r="O99" i="43"/>
  <c r="AA99" i="43"/>
  <c r="P136" i="43"/>
  <c r="AB136" i="43"/>
  <c r="J109" i="43"/>
  <c r="L84" i="53"/>
  <c r="P120" i="43"/>
  <c r="AB120" i="43"/>
  <c r="S88" i="53"/>
  <c r="I88" i="43"/>
  <c r="J65" i="43"/>
  <c r="J17" i="43"/>
  <c r="P73" i="43"/>
  <c r="AB73" i="43"/>
  <c r="AB93" i="43"/>
  <c r="P93" i="43"/>
  <c r="O127" i="43"/>
  <c r="AA127" i="43"/>
  <c r="Q49" i="43"/>
  <c r="AC49" i="43"/>
  <c r="J32" i="43"/>
  <c r="P17" i="43"/>
  <c r="AB17" i="43"/>
  <c r="O89" i="43"/>
  <c r="AA89" i="43"/>
  <c r="AA112" i="43"/>
  <c r="O112" i="43"/>
  <c r="P65" i="43"/>
  <c r="AB65" i="43"/>
  <c r="AH126" i="53"/>
  <c r="R126" i="53"/>
  <c r="AH102" i="53"/>
  <c r="R102" i="53"/>
  <c r="AI36" i="53"/>
  <c r="S36" i="53"/>
  <c r="AH39" i="53"/>
  <c r="R39" i="53"/>
  <c r="AH19" i="53"/>
  <c r="R19" i="53"/>
  <c r="AH87" i="53"/>
  <c r="R87" i="53"/>
  <c r="AH139" i="53"/>
  <c r="R139" i="53"/>
  <c r="AI132" i="53"/>
  <c r="S132" i="53"/>
  <c r="AH26" i="53"/>
  <c r="R26" i="53"/>
  <c r="AH118" i="53"/>
  <c r="R118" i="53"/>
  <c r="AH131" i="53"/>
  <c r="R131" i="53"/>
  <c r="AH55" i="53"/>
  <c r="R55" i="53"/>
  <c r="AI16" i="53"/>
  <c r="S16" i="53"/>
  <c r="AH111" i="53"/>
  <c r="R111" i="53"/>
  <c r="AH115" i="53"/>
  <c r="R115" i="53"/>
  <c r="AI85" i="53"/>
  <c r="S85" i="53"/>
  <c r="AI121" i="53"/>
  <c r="S121" i="53"/>
  <c r="AI93" i="53"/>
  <c r="S93" i="53"/>
  <c r="AJ49" i="53"/>
  <c r="AH94" i="53"/>
  <c r="R94" i="53"/>
  <c r="AH74" i="53"/>
  <c r="R74" i="53"/>
  <c r="AH18" i="53"/>
  <c r="R18" i="53"/>
  <c r="AH130" i="53"/>
  <c r="R130" i="53"/>
  <c r="AH78" i="53"/>
  <c r="R78" i="53"/>
  <c r="AI71" i="53"/>
  <c r="S71" i="53"/>
  <c r="AH34" i="53"/>
  <c r="R34" i="53"/>
  <c r="AI137" i="53"/>
  <c r="S137" i="53"/>
  <c r="AH58" i="53"/>
  <c r="R58" i="53"/>
  <c r="AH22" i="53"/>
  <c r="R22" i="53"/>
  <c r="AH46" i="53"/>
  <c r="R46" i="53"/>
  <c r="AH23" i="53"/>
  <c r="R23" i="53"/>
  <c r="AH47" i="53"/>
  <c r="R47" i="53"/>
  <c r="AI119" i="53"/>
  <c r="S119" i="53"/>
  <c r="AH75" i="53"/>
  <c r="R75" i="53"/>
  <c r="AH43" i="53"/>
  <c r="R43" i="53"/>
  <c r="AH99" i="53"/>
  <c r="R99" i="53"/>
  <c r="AI136" i="53"/>
  <c r="S136" i="53"/>
  <c r="AI120" i="53"/>
  <c r="S120" i="53"/>
  <c r="N104" i="53"/>
  <c r="AJ45" i="53"/>
  <c r="AI105" i="53"/>
  <c r="S105" i="53"/>
  <c r="G19" i="44"/>
  <c r="AI69" i="53"/>
  <c r="S69" i="53"/>
  <c r="AI37" i="53"/>
  <c r="S37" i="53"/>
  <c r="AI103" i="53"/>
  <c r="S103" i="53"/>
  <c r="AI81" i="53"/>
  <c r="S81" i="53"/>
  <c r="AH82" i="53"/>
  <c r="R82" i="53"/>
  <c r="AH30" i="53"/>
  <c r="R30" i="53"/>
  <c r="AH70" i="53"/>
  <c r="R70" i="53"/>
  <c r="AH138" i="53"/>
  <c r="R138" i="53"/>
  <c r="AH122" i="53"/>
  <c r="R122" i="53"/>
  <c r="AH83" i="53"/>
  <c r="R83" i="53"/>
  <c r="AI108" i="53"/>
  <c r="S108" i="53"/>
  <c r="AI107" i="53"/>
  <c r="S107" i="53"/>
  <c r="AI113" i="53"/>
  <c r="S113" i="53"/>
  <c r="L68" i="53"/>
  <c r="J68" i="43" s="1"/>
  <c r="S68" i="53"/>
  <c r="AI80" i="53"/>
  <c r="S80" i="53"/>
  <c r="AI95" i="53"/>
  <c r="S95" i="53"/>
  <c r="L80" i="53"/>
  <c r="AH50" i="53"/>
  <c r="R50" i="53"/>
  <c r="AH98" i="53"/>
  <c r="R98" i="53"/>
  <c r="AH66" i="53"/>
  <c r="R66" i="53"/>
  <c r="AI101" i="53"/>
  <c r="S101" i="53"/>
  <c r="AI31" i="53"/>
  <c r="S31" i="53"/>
  <c r="AH114" i="53"/>
  <c r="R114" i="53"/>
  <c r="AH62" i="53"/>
  <c r="R62" i="53"/>
  <c r="AH59" i="53"/>
  <c r="R59" i="53"/>
  <c r="AH79" i="53"/>
  <c r="R79" i="53"/>
  <c r="AH51" i="53"/>
  <c r="R51" i="53"/>
  <c r="AI89" i="53"/>
  <c r="S89" i="53"/>
  <c r="L73" i="53"/>
  <c r="M73" i="53" s="1"/>
  <c r="K73" i="43" s="1"/>
  <c r="S73" i="53"/>
  <c r="AH127" i="53"/>
  <c r="R127" i="53"/>
  <c r="AI96" i="53"/>
  <c r="S96" i="53"/>
  <c r="AI125" i="53"/>
  <c r="S125" i="53"/>
  <c r="AH86" i="53"/>
  <c r="R86" i="53"/>
  <c r="AH90" i="53"/>
  <c r="R90" i="53"/>
  <c r="AI42" i="53"/>
  <c r="S42" i="53"/>
  <c r="AH54" i="53"/>
  <c r="R54" i="53"/>
  <c r="AH38" i="53"/>
  <c r="R38" i="53"/>
  <c r="AI28" i="53"/>
  <c r="S28" i="53"/>
  <c r="AH134" i="53"/>
  <c r="R134" i="53"/>
  <c r="AH91" i="53"/>
  <c r="R91" i="53"/>
  <c r="AH27" i="53"/>
  <c r="R27" i="53"/>
  <c r="AI97" i="53"/>
  <c r="S97" i="53"/>
  <c r="AH63" i="53"/>
  <c r="R63" i="53"/>
  <c r="AH123" i="53"/>
  <c r="R123" i="53"/>
  <c r="AH67" i="53"/>
  <c r="R67" i="53"/>
  <c r="AH135" i="53"/>
  <c r="R135" i="53"/>
  <c r="AH35" i="53"/>
  <c r="R35" i="53"/>
  <c r="AI53" i="53"/>
  <c r="S53" i="53"/>
  <c r="AI100" i="53"/>
  <c r="S100" i="53"/>
  <c r="L112" i="53"/>
  <c r="M112" i="53" s="1"/>
  <c r="K112" i="43" s="1"/>
  <c r="S112" i="53"/>
  <c r="AI84" i="53"/>
  <c r="S84" i="53"/>
  <c r="AI64" i="53"/>
  <c r="S64" i="53"/>
  <c r="AJ133" i="53"/>
  <c r="AI116" i="53"/>
  <c r="S116" i="53"/>
  <c r="M49" i="53"/>
  <c r="K49" i="43" s="1"/>
  <c r="AI73" i="53"/>
  <c r="L113" i="53"/>
  <c r="L33" i="53"/>
  <c r="AI33" i="53"/>
  <c r="M133" i="53"/>
  <c r="K133" i="43" s="1"/>
  <c r="M32" i="53"/>
  <c r="AJ32" i="53"/>
  <c r="J11" i="22"/>
  <c r="O16" i="35" s="1"/>
  <c r="G156" i="13"/>
  <c r="AK156" i="13" s="1"/>
  <c r="AL156" i="13" s="1"/>
  <c r="E148" i="13"/>
  <c r="J148" i="13" s="1"/>
  <c r="AJ126" i="13"/>
  <c r="O119" i="13"/>
  <c r="AH119" i="13" s="1"/>
  <c r="K151" i="13"/>
  <c r="T151" i="13" s="1"/>
  <c r="J111" i="13"/>
  <c r="AB111" i="13" s="1"/>
  <c r="T111" i="13" s="1"/>
  <c r="G161" i="13"/>
  <c r="AK161" i="13" s="1"/>
  <c r="AL161" i="13" s="1"/>
  <c r="I148" i="13"/>
  <c r="AB148" i="13" s="1"/>
  <c r="AJ116" i="13"/>
  <c r="I155" i="13"/>
  <c r="AB155" i="13" s="1"/>
  <c r="I156" i="13"/>
  <c r="AB156" i="13" s="1"/>
  <c r="O118" i="13"/>
  <c r="P118" i="13" s="1"/>
  <c r="AH94" i="13"/>
  <c r="I159" i="13"/>
  <c r="AB159" i="13" s="1"/>
  <c r="AJ127" i="13"/>
  <c r="AJ123" i="13"/>
  <c r="K150" i="13"/>
  <c r="T150" i="13" s="1"/>
  <c r="AJ124" i="13"/>
  <c r="AJ120" i="13"/>
  <c r="E154" i="13"/>
  <c r="J154" i="13" s="1"/>
  <c r="E150" i="13"/>
  <c r="J150" i="13" s="1"/>
  <c r="L105" i="31"/>
  <c r="M105" i="31" s="1"/>
  <c r="M197" i="31"/>
  <c r="K116" i="31"/>
  <c r="M216" i="31"/>
  <c r="M171" i="31"/>
  <c r="M217" i="31"/>
  <c r="K183" i="31"/>
  <c r="K127" i="53"/>
  <c r="I127" i="43" s="1"/>
  <c r="L105" i="53"/>
  <c r="AK104" i="53"/>
  <c r="AK49" i="53"/>
  <c r="M45" i="53"/>
  <c r="K45" i="43" s="1"/>
  <c r="L93" i="53"/>
  <c r="J93" i="43" s="1"/>
  <c r="M68" i="53"/>
  <c r="K68" i="43" s="1"/>
  <c r="L64" i="53"/>
  <c r="J64" i="43" s="1"/>
  <c r="L121" i="53"/>
  <c r="J121" i="43" s="1"/>
  <c r="AI68" i="53"/>
  <c r="F114" i="49"/>
  <c r="H33" i="49"/>
  <c r="L107" i="35"/>
  <c r="I31" i="37"/>
  <c r="M108" i="35" s="1"/>
  <c r="I30" i="37"/>
  <c r="K107" i="35"/>
  <c r="I268" i="18"/>
  <c r="AB61" i="36"/>
  <c r="AB16" i="36"/>
  <c r="AB37" i="36"/>
  <c r="AB57" i="36"/>
  <c r="AB17" i="36"/>
  <c r="AB21" i="36"/>
  <c r="AB35" i="36"/>
  <c r="AB30" i="36"/>
  <c r="AB48" i="36"/>
  <c r="AB29" i="36"/>
  <c r="AB49" i="36"/>
  <c r="W53" i="36"/>
  <c r="AB18" i="36"/>
  <c r="AB15" i="36"/>
  <c r="AB70" i="36"/>
  <c r="W21" i="36"/>
  <c r="W45" i="36"/>
  <c r="W70" i="36"/>
  <c r="W38" i="36"/>
  <c r="W69" i="36"/>
  <c r="W37" i="36"/>
  <c r="W62" i="36"/>
  <c r="W30" i="36"/>
  <c r="W61" i="36"/>
  <c r="W29" i="36"/>
  <c r="W54" i="36"/>
  <c r="W22" i="36"/>
  <c r="L8" i="37"/>
  <c r="J214" i="48"/>
  <c r="H82" i="38" s="1"/>
  <c r="I162" i="18"/>
  <c r="I172" i="18" s="1"/>
  <c r="U46" i="36"/>
  <c r="U43" i="36"/>
  <c r="E161" i="13"/>
  <c r="J161" i="13" s="1"/>
  <c r="E157" i="13"/>
  <c r="J157" i="13" s="1"/>
  <c r="K144" i="13"/>
  <c r="T144" i="13" s="1"/>
  <c r="I7" i="22"/>
  <c r="W67" i="36"/>
  <c r="W51" i="36"/>
  <c r="W43" i="36"/>
  <c r="W27" i="36"/>
  <c r="W19" i="36"/>
  <c r="W60" i="36"/>
  <c r="W44" i="36"/>
  <c r="W28" i="36"/>
  <c r="W15" i="36"/>
  <c r="AB47" i="36"/>
  <c r="AB27" i="36"/>
  <c r="AB68" i="36"/>
  <c r="AB50" i="36"/>
  <c r="AB63" i="36"/>
  <c r="AB25" i="36"/>
  <c r="AB55" i="36"/>
  <c r="AB58" i="36"/>
  <c r="U44" i="36"/>
  <c r="U70" i="36"/>
  <c r="W65" i="36"/>
  <c r="W57" i="36"/>
  <c r="W49" i="36"/>
  <c r="W41" i="36"/>
  <c r="W33" i="36"/>
  <c r="W25" i="36"/>
  <c r="W17" i="36"/>
  <c r="W66" i="36"/>
  <c r="W58" i="36"/>
  <c r="W50" i="36"/>
  <c r="W42" i="36"/>
  <c r="W34" i="36"/>
  <c r="W26" i="36"/>
  <c r="W18" i="36"/>
  <c r="U60" i="36"/>
  <c r="U34" i="36"/>
  <c r="W59" i="36"/>
  <c r="W35" i="36"/>
  <c r="W68" i="36"/>
  <c r="W52" i="36"/>
  <c r="W36" i="36"/>
  <c r="W20" i="36"/>
  <c r="AB40" i="36"/>
  <c r="AB19" i="36"/>
  <c r="AB59" i="36"/>
  <c r="AB65" i="36"/>
  <c r="AB62" i="36"/>
  <c r="AB26" i="36"/>
  <c r="AB39" i="36"/>
  <c r="U68" i="36"/>
  <c r="U62" i="36"/>
  <c r="W14" i="36"/>
  <c r="W63" i="36"/>
  <c r="W55" i="36"/>
  <c r="W47" i="36"/>
  <c r="W39" i="36"/>
  <c r="W31" i="36"/>
  <c r="W23" i="36"/>
  <c r="W16" i="36"/>
  <c r="W64" i="36"/>
  <c r="W56" i="36"/>
  <c r="W48" i="36"/>
  <c r="W40" i="36"/>
  <c r="W32" i="36"/>
  <c r="W24" i="36"/>
  <c r="AE8" i="36"/>
  <c r="AE33" i="36" s="1"/>
  <c r="U52" i="36"/>
  <c r="U30" i="36"/>
  <c r="U41" i="36"/>
  <c r="U48" i="36"/>
  <c r="U24" i="36"/>
  <c r="U32" i="36"/>
  <c r="U29" i="36"/>
  <c r="AB23" i="36"/>
  <c r="AB33" i="36"/>
  <c r="AB45" i="36"/>
  <c r="AB46" i="36"/>
  <c r="AB54" i="36"/>
  <c r="AB42" i="36"/>
  <c r="AB67" i="36"/>
  <c r="AB41" i="36"/>
  <c r="AB20" i="36"/>
  <c r="AB66" i="36"/>
  <c r="AB64" i="36"/>
  <c r="AB14" i="36"/>
  <c r="G21" i="37" s="1"/>
  <c r="G39" i="37" s="1"/>
  <c r="H12" i="37" s="1"/>
  <c r="AB60" i="36"/>
  <c r="AB52" i="36"/>
  <c r="U14" i="36"/>
  <c r="J30" i="37" s="1"/>
  <c r="U40" i="36"/>
  <c r="U53" i="36"/>
  <c r="U39" i="36"/>
  <c r="U20" i="36"/>
  <c r="U63" i="36"/>
  <c r="U55" i="36"/>
  <c r="U16" i="36"/>
  <c r="U66" i="36"/>
  <c r="U28" i="36"/>
  <c r="U22" i="36"/>
  <c r="U31" i="36"/>
  <c r="U56" i="36"/>
  <c r="U27" i="36"/>
  <c r="U59" i="36"/>
  <c r="AD60" i="36"/>
  <c r="U61" i="36"/>
  <c r="U36" i="36"/>
  <c r="U58" i="36"/>
  <c r="U21" i="36"/>
  <c r="U17" i="36"/>
  <c r="U18" i="36"/>
  <c r="U45" i="36"/>
  <c r="U25" i="36"/>
  <c r="U19" i="36"/>
  <c r="U23" i="36"/>
  <c r="U35" i="36"/>
  <c r="U50" i="36"/>
  <c r="U65" i="36"/>
  <c r="AB51" i="36"/>
  <c r="AB56" i="36"/>
  <c r="AB34" i="36"/>
  <c r="AB28" i="36"/>
  <c r="AB31" i="36"/>
  <c r="AB44" i="36"/>
  <c r="AB22" i="36"/>
  <c r="AB43" i="36"/>
  <c r="AB38" i="36"/>
  <c r="AB53" i="36"/>
  <c r="AB24" i="36"/>
  <c r="AB36" i="36"/>
  <c r="AB32" i="36"/>
  <c r="U15" i="36"/>
  <c r="U47" i="36"/>
  <c r="U33" i="36"/>
  <c r="U38" i="36"/>
  <c r="U37" i="36"/>
  <c r="U49" i="36"/>
  <c r="U51" i="36"/>
  <c r="U26" i="36"/>
  <c r="U67" i="36"/>
  <c r="U42" i="36"/>
  <c r="U69" i="36"/>
  <c r="U57" i="36"/>
  <c r="U54" i="36"/>
  <c r="U64" i="36"/>
  <c r="X8" i="36"/>
  <c r="M8" i="37" s="1"/>
  <c r="Y50" i="29"/>
  <c r="AC75" i="29"/>
  <c r="AC90" i="29"/>
  <c r="AC65" i="29"/>
  <c r="AC100" i="29"/>
  <c r="AC85" i="29"/>
  <c r="AC74" i="29"/>
  <c r="AC105" i="29"/>
  <c r="AC113" i="29"/>
  <c r="AC72" i="29"/>
  <c r="AC145" i="29"/>
  <c r="AC109" i="29"/>
  <c r="AC66" i="29"/>
  <c r="AC141" i="29"/>
  <c r="AC108" i="29"/>
  <c r="AC77" i="29"/>
  <c r="AC117" i="29"/>
  <c r="AC103" i="29"/>
  <c r="AC86" i="29"/>
  <c r="AC88" i="29"/>
  <c r="AC146" i="29"/>
  <c r="AC122" i="29"/>
  <c r="AC138" i="29"/>
  <c r="AC154" i="29"/>
  <c r="AC133" i="29"/>
  <c r="AC97" i="29"/>
  <c r="AC71" i="29"/>
  <c r="AC116" i="29"/>
  <c r="AC96" i="29"/>
  <c r="AC106" i="29"/>
  <c r="AC121" i="29"/>
  <c r="AC91" i="29"/>
  <c r="AC81" i="29"/>
  <c r="AC82" i="29"/>
  <c r="AC87" i="29"/>
  <c r="AC134" i="29"/>
  <c r="AC67" i="29"/>
  <c r="AC129" i="29"/>
  <c r="AC125" i="29"/>
  <c r="AC69" i="29"/>
  <c r="AC130" i="29"/>
  <c r="AC153" i="29"/>
  <c r="AJ112" i="53"/>
  <c r="AJ20" i="53"/>
  <c r="M20" i="53"/>
  <c r="K20" i="43" s="1"/>
  <c r="AJ105" i="53"/>
  <c r="M105" i="53"/>
  <c r="K105" i="43" s="1"/>
  <c r="AJ24" i="53"/>
  <c r="M24" i="53"/>
  <c r="K24" i="43" s="1"/>
  <c r="AJ57" i="53"/>
  <c r="M57" i="53"/>
  <c r="K57" i="43" s="1"/>
  <c r="AJ29" i="53"/>
  <c r="M29" i="53"/>
  <c r="K29" i="43" s="1"/>
  <c r="AJ92" i="53"/>
  <c r="M92" i="53"/>
  <c r="K92" i="43" s="1"/>
  <c r="L89" i="53"/>
  <c r="AJ25" i="53"/>
  <c r="M25" i="53"/>
  <c r="K25" i="43" s="1"/>
  <c r="AJ109" i="53"/>
  <c r="M109" i="53"/>
  <c r="K109" i="43" s="1"/>
  <c r="AJ77" i="53"/>
  <c r="M77" i="53"/>
  <c r="K77" i="43" s="1"/>
  <c r="AJ40" i="53"/>
  <c r="M40" i="53"/>
  <c r="K40" i="43" s="1"/>
  <c r="AJ60" i="53"/>
  <c r="M60" i="53"/>
  <c r="K60" i="43" s="1"/>
  <c r="AJ96" i="53"/>
  <c r="M96" i="53"/>
  <c r="K96" i="43" s="1"/>
  <c r="AJ128" i="53"/>
  <c r="M128" i="53"/>
  <c r="K128" i="43" s="1"/>
  <c r="AJ44" i="53"/>
  <c r="M44" i="53"/>
  <c r="K44" i="43" s="1"/>
  <c r="AJ124" i="53"/>
  <c r="M124" i="53"/>
  <c r="K124" i="43" s="1"/>
  <c r="AJ56" i="53"/>
  <c r="M56" i="53"/>
  <c r="K56" i="43" s="1"/>
  <c r="AJ61" i="53"/>
  <c r="M61" i="53"/>
  <c r="K61" i="43" s="1"/>
  <c r="AJ21" i="53"/>
  <c r="M21" i="53"/>
  <c r="K21" i="43" s="1"/>
  <c r="AJ117" i="53"/>
  <c r="M117" i="53"/>
  <c r="K117" i="43" s="1"/>
  <c r="AJ110" i="53"/>
  <c r="M110" i="53"/>
  <c r="K110" i="43" s="1"/>
  <c r="AJ72" i="53"/>
  <c r="M72" i="53"/>
  <c r="K72" i="43" s="1"/>
  <c r="AJ76" i="53"/>
  <c r="M76" i="53"/>
  <c r="K76" i="43" s="1"/>
  <c r="AJ41" i="53"/>
  <c r="M41" i="53"/>
  <c r="K41" i="43" s="1"/>
  <c r="AJ129" i="53"/>
  <c r="M129" i="53"/>
  <c r="K129" i="43" s="1"/>
  <c r="AJ84" i="53"/>
  <c r="M84" i="53"/>
  <c r="K84" i="43" s="1"/>
  <c r="AJ106" i="53"/>
  <c r="M106" i="53"/>
  <c r="K106" i="43" s="1"/>
  <c r="AJ65" i="53"/>
  <c r="M65" i="53"/>
  <c r="K65" i="43" s="1"/>
  <c r="AJ17" i="53"/>
  <c r="M17" i="53"/>
  <c r="K17" i="43" s="1"/>
  <c r="L52" i="53"/>
  <c r="AI52" i="53"/>
  <c r="L48" i="53"/>
  <c r="AI48" i="53"/>
  <c r="AI112" i="53"/>
  <c r="AI88" i="53"/>
  <c r="L88" i="53"/>
  <c r="S60" i="29"/>
  <c r="S64" i="29"/>
  <c r="S68" i="29"/>
  <c r="S72" i="29"/>
  <c r="S76" i="29"/>
  <c r="S80" i="29"/>
  <c r="S84" i="29"/>
  <c r="S88" i="29"/>
  <c r="S92" i="29"/>
  <c r="S61" i="29"/>
  <c r="S65" i="29"/>
  <c r="S69" i="29"/>
  <c r="S73" i="29"/>
  <c r="S77" i="29"/>
  <c r="S81" i="29"/>
  <c r="S85" i="29"/>
  <c r="S89" i="29"/>
  <c r="S93" i="29"/>
  <c r="S97" i="29"/>
  <c r="S101" i="29"/>
  <c r="S105" i="29"/>
  <c r="S62" i="29"/>
  <c r="S66" i="29"/>
  <c r="S70" i="29"/>
  <c r="S74" i="29"/>
  <c r="S78" i="29"/>
  <c r="S82" i="29"/>
  <c r="S86" i="29"/>
  <c r="S90" i="29"/>
  <c r="S94" i="29"/>
  <c r="S98" i="29"/>
  <c r="S102" i="29"/>
  <c r="S106" i="29"/>
  <c r="S110" i="29"/>
  <c r="S114" i="29"/>
  <c r="S118" i="29"/>
  <c r="S122" i="29"/>
  <c r="S126" i="29"/>
  <c r="S130" i="29"/>
  <c r="S134" i="29"/>
  <c r="S138" i="29"/>
  <c r="S142" i="29"/>
  <c r="S146" i="29"/>
  <c r="S150" i="29"/>
  <c r="S154" i="29"/>
  <c r="S75" i="29"/>
  <c r="S91" i="29"/>
  <c r="S117" i="29"/>
  <c r="S119" i="29"/>
  <c r="S120" i="29"/>
  <c r="S133" i="29"/>
  <c r="S135" i="29"/>
  <c r="S136" i="29"/>
  <c r="S149" i="29"/>
  <c r="S151" i="29"/>
  <c r="S152" i="29"/>
  <c r="S71" i="29"/>
  <c r="S87" i="29"/>
  <c r="S99" i="29"/>
  <c r="S100" i="29"/>
  <c r="S107" i="29"/>
  <c r="S108" i="29"/>
  <c r="S121" i="29"/>
  <c r="S123" i="29"/>
  <c r="S124" i="29"/>
  <c r="S137" i="29"/>
  <c r="S139" i="29"/>
  <c r="S140" i="29"/>
  <c r="S153" i="29"/>
  <c r="S155" i="29"/>
  <c r="S156" i="29"/>
  <c r="S67" i="29"/>
  <c r="S83" i="29"/>
  <c r="S109" i="29"/>
  <c r="S111" i="29"/>
  <c r="S112" i="29"/>
  <c r="S125" i="29"/>
  <c r="S127" i="29"/>
  <c r="S128" i="29"/>
  <c r="S141" i="29"/>
  <c r="S143" i="29"/>
  <c r="S144" i="29"/>
  <c r="S59" i="29"/>
  <c r="S57" i="29"/>
  <c r="S58" i="29"/>
  <c r="S63" i="29"/>
  <c r="S79" i="29"/>
  <c r="S95" i="29"/>
  <c r="S96" i="29"/>
  <c r="S103" i="29"/>
  <c r="S104" i="29"/>
  <c r="S113" i="29"/>
  <c r="S115" i="29"/>
  <c r="S116" i="29"/>
  <c r="S129" i="29"/>
  <c r="S131" i="29"/>
  <c r="S132" i="29"/>
  <c r="S145" i="29"/>
  <c r="S147" i="29"/>
  <c r="S148" i="29"/>
  <c r="I21" i="22"/>
  <c r="N17" i="35" s="1"/>
  <c r="AB61" i="29"/>
  <c r="AB65" i="29"/>
  <c r="AB69" i="29"/>
  <c r="AB73" i="29"/>
  <c r="AB77" i="29"/>
  <c r="AB81" i="29"/>
  <c r="AB85" i="29"/>
  <c r="AB89" i="29"/>
  <c r="AB93" i="29"/>
  <c r="AB97" i="29"/>
  <c r="AB101" i="29"/>
  <c r="AB105" i="29"/>
  <c r="AB109" i="29"/>
  <c r="AB113" i="29"/>
  <c r="AB117" i="29"/>
  <c r="AB121" i="29"/>
  <c r="AB125" i="29"/>
  <c r="AB129" i="29"/>
  <c r="AB133" i="29"/>
  <c r="AB137" i="29"/>
  <c r="AB141" i="29"/>
  <c r="AB62" i="29"/>
  <c r="AB66" i="29"/>
  <c r="AB70" i="29"/>
  <c r="AB74" i="29"/>
  <c r="AB78" i="29"/>
  <c r="AB82" i="29"/>
  <c r="AB86" i="29"/>
  <c r="AB90" i="29"/>
  <c r="AB94" i="29"/>
  <c r="AB98" i="29"/>
  <c r="AB102" i="29"/>
  <c r="AB106" i="29"/>
  <c r="AB110" i="29"/>
  <c r="AB114" i="29"/>
  <c r="AB118" i="29"/>
  <c r="AB122" i="29"/>
  <c r="AB126" i="29"/>
  <c r="AB130" i="29"/>
  <c r="AB134" i="29"/>
  <c r="AB138" i="29"/>
  <c r="AB59" i="29"/>
  <c r="AB63" i="29"/>
  <c r="AB67" i="29"/>
  <c r="AB71" i="29"/>
  <c r="AB75" i="29"/>
  <c r="AB79" i="29"/>
  <c r="AB83" i="29"/>
  <c r="AB87" i="29"/>
  <c r="AB91" i="29"/>
  <c r="AB95" i="29"/>
  <c r="AB99" i="29"/>
  <c r="AB103" i="29"/>
  <c r="AB107" i="29"/>
  <c r="AB111" i="29"/>
  <c r="AB115" i="29"/>
  <c r="AB119" i="29"/>
  <c r="AB123" i="29"/>
  <c r="AB127" i="29"/>
  <c r="AB131" i="29"/>
  <c r="AB135" i="29"/>
  <c r="AB139" i="29"/>
  <c r="AB60" i="29"/>
  <c r="AB64" i="29"/>
  <c r="AB68" i="29"/>
  <c r="AB72" i="29"/>
  <c r="AB76" i="29"/>
  <c r="AB80" i="29"/>
  <c r="AB84" i="29"/>
  <c r="AB88" i="29"/>
  <c r="AB92" i="29"/>
  <c r="AB96" i="29"/>
  <c r="AB100" i="29"/>
  <c r="AB104" i="29"/>
  <c r="AB108" i="29"/>
  <c r="AB112" i="29"/>
  <c r="AB116" i="29"/>
  <c r="AB120" i="29"/>
  <c r="AB124" i="29"/>
  <c r="AB128" i="29"/>
  <c r="AB132" i="29"/>
  <c r="AB136" i="29"/>
  <c r="AB140" i="29"/>
  <c r="AB143" i="29"/>
  <c r="AB147" i="29"/>
  <c r="AB151" i="29"/>
  <c r="AB155" i="29"/>
  <c r="AB144" i="29"/>
  <c r="AB148" i="29"/>
  <c r="AB152" i="29"/>
  <c r="AB156" i="29"/>
  <c r="AB57" i="29"/>
  <c r="AB58" i="29"/>
  <c r="AB145" i="29"/>
  <c r="AB149" i="29"/>
  <c r="AB153" i="29"/>
  <c r="AB142" i="29"/>
  <c r="AB146" i="29"/>
  <c r="AB150" i="29"/>
  <c r="AB154" i="29"/>
  <c r="I39" i="39"/>
  <c r="AD52" i="36"/>
  <c r="AD26" i="36"/>
  <c r="AD32" i="36"/>
  <c r="AD45" i="36"/>
  <c r="AD20" i="36"/>
  <c r="AD44" i="36"/>
  <c r="AD47" i="36"/>
  <c r="AD51" i="36"/>
  <c r="AD34" i="36"/>
  <c r="AD63" i="36"/>
  <c r="AD27" i="36"/>
  <c r="AD57" i="36"/>
  <c r="AD33" i="36"/>
  <c r="AD18" i="36"/>
  <c r="I70" i="38"/>
  <c r="L206" i="18"/>
  <c r="J276" i="18"/>
  <c r="I81" i="38" s="1"/>
  <c r="J207" i="18"/>
  <c r="H69" i="38"/>
  <c r="J71" i="38"/>
  <c r="M221" i="35"/>
  <c r="L221" i="35"/>
  <c r="K223" i="35"/>
  <c r="N148" i="35"/>
  <c r="K34" i="38" s="1"/>
  <c r="F33" i="38"/>
  <c r="M73" i="35"/>
  <c r="J21" i="38" s="1"/>
  <c r="M203" i="35"/>
  <c r="M222" i="35"/>
  <c r="I191" i="18"/>
  <c r="AE81" i="13"/>
  <c r="AF81" i="13" s="1"/>
  <c r="G22" i="37"/>
  <c r="F22" i="37"/>
  <c r="F25" i="37" s="1"/>
  <c r="AD31" i="36"/>
  <c r="AD54" i="36"/>
  <c r="AD41" i="36"/>
  <c r="AD40" i="36"/>
  <c r="AD59" i="36"/>
  <c r="AD65" i="36"/>
  <c r="AD17" i="36"/>
  <c r="AD28" i="36"/>
  <c r="AD53" i="36"/>
  <c r="AD48" i="36"/>
  <c r="AD25" i="36"/>
  <c r="AD66" i="36"/>
  <c r="AD58" i="36"/>
  <c r="AD38" i="36"/>
  <c r="I10" i="22"/>
  <c r="AD43" i="36"/>
  <c r="AD24" i="36"/>
  <c r="AD55" i="36"/>
  <c r="AD22" i="36"/>
  <c r="AD23" i="36"/>
  <c r="AD68" i="36"/>
  <c r="AD46" i="36"/>
  <c r="AD36" i="36"/>
  <c r="AD42" i="36"/>
  <c r="AD62" i="36"/>
  <c r="AD50" i="36"/>
  <c r="AD16" i="36"/>
  <c r="AD15" i="36"/>
  <c r="AD14" i="36"/>
  <c r="G31" i="37"/>
  <c r="T12" i="36"/>
  <c r="AD35" i="36"/>
  <c r="AD29" i="36"/>
  <c r="AD69" i="36"/>
  <c r="AD21" i="36"/>
  <c r="AD37" i="36"/>
  <c r="AD67" i="36"/>
  <c r="AD61" i="36"/>
  <c r="AD64" i="36"/>
  <c r="AD70" i="36"/>
  <c r="AD19" i="36"/>
  <c r="AD49" i="36"/>
  <c r="AD30" i="36"/>
  <c r="AD39" i="36"/>
  <c r="H31" i="37"/>
  <c r="AE113" i="13"/>
  <c r="I152" i="13"/>
  <c r="AB152" i="13" s="1"/>
  <c r="AD85" i="13"/>
  <c r="AF85" i="13" s="1"/>
  <c r="E149" i="13"/>
  <c r="J149" i="13" s="1"/>
  <c r="E143" i="13"/>
  <c r="AD117" i="13"/>
  <c r="AF15" i="13"/>
  <c r="S15" i="13" s="1"/>
  <c r="S35" i="13" s="1"/>
  <c r="O99" i="13"/>
  <c r="K157" i="13"/>
  <c r="T157" i="13" s="1"/>
  <c r="S125" i="13"/>
  <c r="R125" i="13"/>
  <c r="O125" i="13"/>
  <c r="U125" i="13"/>
  <c r="K185" i="13"/>
  <c r="T185" i="13" s="1"/>
  <c r="S153" i="13"/>
  <c r="R153" i="13"/>
  <c r="U153" i="13"/>
  <c r="O153" i="13"/>
  <c r="P96" i="13"/>
  <c r="AH96" i="13"/>
  <c r="K131" i="13"/>
  <c r="I121" i="49" s="1"/>
  <c r="U129" i="13"/>
  <c r="O129" i="13"/>
  <c r="S129" i="13"/>
  <c r="R129" i="13"/>
  <c r="AK127" i="13"/>
  <c r="AL127" i="13" s="1"/>
  <c r="G159" i="13"/>
  <c r="R155" i="13"/>
  <c r="U155" i="13"/>
  <c r="O155" i="13"/>
  <c r="S155" i="13"/>
  <c r="K187" i="13"/>
  <c r="T187" i="13" s="1"/>
  <c r="AH93" i="13"/>
  <c r="P93" i="13"/>
  <c r="P92" i="13"/>
  <c r="AH92" i="13"/>
  <c r="P90" i="13"/>
  <c r="AH90" i="13"/>
  <c r="E162" i="13"/>
  <c r="J162" i="13" s="1"/>
  <c r="AH121" i="13"/>
  <c r="AK125" i="13"/>
  <c r="AL125" i="13" s="1"/>
  <c r="G157" i="13"/>
  <c r="K160" i="13"/>
  <c r="T160" i="13" s="1"/>
  <c r="R128" i="13"/>
  <c r="O128" i="13"/>
  <c r="U128" i="13"/>
  <c r="S128" i="13"/>
  <c r="K162" i="13"/>
  <c r="T162" i="13" s="1"/>
  <c r="O130" i="13"/>
  <c r="U130" i="13"/>
  <c r="S130" i="13"/>
  <c r="R130" i="13"/>
  <c r="R120" i="13"/>
  <c r="O120" i="13"/>
  <c r="U120" i="13"/>
  <c r="S120" i="13"/>
  <c r="K152" i="13"/>
  <c r="T152" i="13" s="1"/>
  <c r="O158" i="13"/>
  <c r="U158" i="13"/>
  <c r="S158" i="13"/>
  <c r="R158" i="13"/>
  <c r="K159" i="13"/>
  <c r="T159" i="13" s="1"/>
  <c r="R127" i="13"/>
  <c r="U127" i="13"/>
  <c r="O127" i="13"/>
  <c r="S127" i="13"/>
  <c r="P126" i="13"/>
  <c r="AH126" i="13"/>
  <c r="K156" i="13"/>
  <c r="T156" i="13" s="1"/>
  <c r="U124" i="13"/>
  <c r="S124" i="13"/>
  <c r="R124" i="13"/>
  <c r="O124" i="13"/>
  <c r="AK122" i="13"/>
  <c r="AL122" i="13" s="1"/>
  <c r="G154" i="13"/>
  <c r="P98" i="13"/>
  <c r="AH98" i="13"/>
  <c r="AH123" i="13"/>
  <c r="P123" i="13"/>
  <c r="AK121" i="13"/>
  <c r="AL121" i="13" s="1"/>
  <c r="G153" i="13"/>
  <c r="AK120" i="13"/>
  <c r="AL120" i="13" s="1"/>
  <c r="G152" i="13"/>
  <c r="AH95" i="13"/>
  <c r="P95" i="13"/>
  <c r="AH97" i="13"/>
  <c r="P97" i="13"/>
  <c r="O122" i="13"/>
  <c r="U122" i="13"/>
  <c r="S122" i="13"/>
  <c r="R122" i="13"/>
  <c r="K154" i="13"/>
  <c r="T154" i="13" s="1"/>
  <c r="P88" i="13"/>
  <c r="AH88" i="13"/>
  <c r="AK123" i="13"/>
  <c r="AL123" i="13" s="1"/>
  <c r="G155" i="13"/>
  <c r="K207" i="18"/>
  <c r="K205" i="18"/>
  <c r="I200" i="18"/>
  <c r="I192" i="18"/>
  <c r="J199" i="18"/>
  <c r="J198" i="18"/>
  <c r="M136" i="18"/>
  <c r="N136" i="18" s="1"/>
  <c r="N277" i="18" s="1"/>
  <c r="M95" i="18"/>
  <c r="N95" i="18" s="1"/>
  <c r="M70" i="18"/>
  <c r="N70" i="18" s="1"/>
  <c r="M127" i="18"/>
  <c r="N127" i="18" s="1"/>
  <c r="H221" i="18"/>
  <c r="J153" i="31"/>
  <c r="F102" i="49"/>
  <c r="J235" i="31"/>
  <c r="K163" i="31"/>
  <c r="K149" i="31"/>
  <c r="L73" i="18"/>
  <c r="L259" i="18" s="1"/>
  <c r="M68" i="18"/>
  <c r="N68" i="18" s="1"/>
  <c r="M92" i="18"/>
  <c r="I36" i="18"/>
  <c r="P27" i="29"/>
  <c r="J61" i="39"/>
  <c r="O203" i="35"/>
  <c r="N26" i="35"/>
  <c r="O22" i="35"/>
  <c r="I61" i="31"/>
  <c r="L22" i="24" s="1"/>
  <c r="I239" i="31"/>
  <c r="K188" i="31"/>
  <c r="L200" i="31"/>
  <c r="L165" i="31"/>
  <c r="L163" i="31"/>
  <c r="L112" i="31"/>
  <c r="L199" i="31"/>
  <c r="L109" i="31"/>
  <c r="K160" i="31"/>
  <c r="K177" i="31"/>
  <c r="L108" i="31"/>
  <c r="L191" i="31"/>
  <c r="K161" i="31"/>
  <c r="L148" i="31"/>
  <c r="L147" i="31"/>
  <c r="K215" i="31"/>
  <c r="J135" i="31"/>
  <c r="K167" i="31"/>
  <c r="L113" i="31"/>
  <c r="K203" i="31"/>
  <c r="L204" i="31"/>
  <c r="L128" i="31"/>
  <c r="L212" i="31"/>
  <c r="L172" i="31"/>
  <c r="L103" i="31"/>
  <c r="L115" i="31"/>
  <c r="L184" i="31"/>
  <c r="K209" i="31"/>
  <c r="K180" i="31"/>
  <c r="R12" i="36"/>
  <c r="AF55" i="13"/>
  <c r="H91" i="49"/>
  <c r="I80" i="18"/>
  <c r="Z10" i="53"/>
  <c r="Q8" i="29"/>
  <c r="J56" i="18"/>
  <c r="I24" i="18"/>
  <c r="I110" i="18"/>
  <c r="AA12" i="36"/>
  <c r="L126" i="29"/>
  <c r="M126" i="29" s="1"/>
  <c r="AD126" i="29" s="1"/>
  <c r="L156" i="29"/>
  <c r="M156" i="29" s="1"/>
  <c r="AD156" i="29" s="1"/>
  <c r="L68" i="29"/>
  <c r="M68" i="29" s="1"/>
  <c r="AD68" i="29" s="1"/>
  <c r="L132" i="29"/>
  <c r="M132" i="29" s="1"/>
  <c r="AD132" i="29" s="1"/>
  <c r="L110" i="29"/>
  <c r="M110" i="29" s="1"/>
  <c r="AD110" i="29" s="1"/>
  <c r="L70" i="29"/>
  <c r="M70" i="29" s="1"/>
  <c r="AD70" i="29" s="1"/>
  <c r="L128" i="29"/>
  <c r="M128" i="29" s="1"/>
  <c r="AD128" i="29" s="1"/>
  <c r="L140" i="29"/>
  <c r="M140" i="29" s="1"/>
  <c r="AD140" i="29" s="1"/>
  <c r="L127" i="29"/>
  <c r="M127" i="29" s="1"/>
  <c r="AD127" i="29" s="1"/>
  <c r="L123" i="29"/>
  <c r="M123" i="29" s="1"/>
  <c r="AD123" i="29" s="1"/>
  <c r="L143" i="29"/>
  <c r="M143" i="29" s="1"/>
  <c r="AD143" i="29" s="1"/>
  <c r="L137" i="29"/>
  <c r="M137" i="29" s="1"/>
  <c r="AD137" i="29" s="1"/>
  <c r="L149" i="29"/>
  <c r="M149" i="29" s="1"/>
  <c r="AD149" i="29" s="1"/>
  <c r="L155" i="29"/>
  <c r="M155" i="29" s="1"/>
  <c r="AD155" i="29" s="1"/>
  <c r="L144" i="29"/>
  <c r="M144" i="29" s="1"/>
  <c r="AD144" i="29" s="1"/>
  <c r="L151" i="29"/>
  <c r="M151" i="29" s="1"/>
  <c r="AD151" i="29" s="1"/>
  <c r="L124" i="29"/>
  <c r="M124" i="29" s="1"/>
  <c r="AD124" i="29" s="1"/>
  <c r="L115" i="29"/>
  <c r="M115" i="29" s="1"/>
  <c r="AD115" i="29" s="1"/>
  <c r="L102" i="29"/>
  <c r="M102" i="29" s="1"/>
  <c r="AD102" i="29" s="1"/>
  <c r="L139" i="29"/>
  <c r="M139" i="29" s="1"/>
  <c r="AD139" i="29" s="1"/>
  <c r="L99" i="29"/>
  <c r="M99" i="29" s="1"/>
  <c r="AD99" i="29" s="1"/>
  <c r="L131" i="29"/>
  <c r="M131" i="29" s="1"/>
  <c r="AD131" i="29" s="1"/>
  <c r="L114" i="29"/>
  <c r="M114" i="29" s="1"/>
  <c r="AD114" i="29" s="1"/>
  <c r="L152" i="29"/>
  <c r="M152" i="29" s="1"/>
  <c r="AD152" i="29" s="1"/>
  <c r="L118" i="29"/>
  <c r="M118" i="29" s="1"/>
  <c r="AD118" i="29" s="1"/>
  <c r="L104" i="29"/>
  <c r="M104" i="29" s="1"/>
  <c r="AD104" i="29" s="1"/>
  <c r="L112" i="29"/>
  <c r="M112" i="29" s="1"/>
  <c r="AD112" i="29" s="1"/>
  <c r="L98" i="29"/>
  <c r="M98" i="29" s="1"/>
  <c r="AD98" i="29" s="1"/>
  <c r="L120" i="29"/>
  <c r="M120" i="29" s="1"/>
  <c r="AD120" i="29" s="1"/>
  <c r="L148" i="29"/>
  <c r="M148" i="29" s="1"/>
  <c r="AD148" i="29" s="1"/>
  <c r="L136" i="29"/>
  <c r="M136" i="29" s="1"/>
  <c r="AD136" i="29" s="1"/>
  <c r="L107" i="29"/>
  <c r="M107" i="29" s="1"/>
  <c r="AD107" i="29" s="1"/>
  <c r="L147" i="29"/>
  <c r="M147" i="29" s="1"/>
  <c r="AD147" i="29" s="1"/>
  <c r="L119" i="29"/>
  <c r="M119" i="29" s="1"/>
  <c r="AD119" i="29" s="1"/>
  <c r="L111" i="29"/>
  <c r="M111" i="29" s="1"/>
  <c r="AD111" i="29" s="1"/>
  <c r="L135" i="29"/>
  <c r="M135" i="29" s="1"/>
  <c r="AD135" i="29" s="1"/>
  <c r="L73" i="29"/>
  <c r="M73" i="29" s="1"/>
  <c r="AD73" i="29" s="1"/>
  <c r="L84" i="29"/>
  <c r="M84" i="29" s="1"/>
  <c r="AD84" i="29" s="1"/>
  <c r="L83" i="29"/>
  <c r="M83" i="29" s="1"/>
  <c r="AD83" i="29" s="1"/>
  <c r="L79" i="29"/>
  <c r="M79" i="29" s="1"/>
  <c r="AD79" i="29" s="1"/>
  <c r="L89" i="29"/>
  <c r="M89" i="29" s="1"/>
  <c r="AD89" i="29" s="1"/>
  <c r="L94" i="29"/>
  <c r="M94" i="29" s="1"/>
  <c r="AD94" i="29" s="1"/>
  <c r="L93" i="29"/>
  <c r="M93" i="29" s="1"/>
  <c r="AD93" i="29" s="1"/>
  <c r="L76" i="29"/>
  <c r="M76" i="29" s="1"/>
  <c r="AD76" i="29" s="1"/>
  <c r="L80" i="29"/>
  <c r="M80" i="29" s="1"/>
  <c r="AD80" i="29" s="1"/>
  <c r="L95" i="29"/>
  <c r="M95" i="29" s="1"/>
  <c r="AD95" i="29" s="1"/>
  <c r="L92" i="29"/>
  <c r="M92" i="29" s="1"/>
  <c r="AD92" i="29" s="1"/>
  <c r="L148" i="18"/>
  <c r="L222" i="18" s="1"/>
  <c r="R52" i="29"/>
  <c r="R11" i="29" s="1"/>
  <c r="K122" i="18" s="1"/>
  <c r="K220" i="18" s="1"/>
  <c r="Q25" i="29"/>
  <c r="Q27" i="29" s="1"/>
  <c r="K107" i="31"/>
  <c r="R15" i="13"/>
  <c r="R35" i="13" s="1"/>
  <c r="AD54" i="13"/>
  <c r="AE54" i="13"/>
  <c r="R54" i="13" s="1"/>
  <c r="AD50" i="13"/>
  <c r="AE50" i="13"/>
  <c r="R50" i="13" s="1"/>
  <c r="AD87" i="13"/>
  <c r="AE87" i="13"/>
  <c r="R87" i="13" s="1"/>
  <c r="I20" i="22"/>
  <c r="H22" i="22"/>
  <c r="L141" i="35"/>
  <c r="L151" i="35" s="1"/>
  <c r="P33" i="29"/>
  <c r="K139" i="35"/>
  <c r="K141" i="35" s="1"/>
  <c r="K151" i="35" s="1"/>
  <c r="P18" i="29"/>
  <c r="I122" i="18"/>
  <c r="I220" i="18" s="1"/>
  <c r="H27" i="38" s="1"/>
  <c r="R49" i="13"/>
  <c r="AH83" i="13"/>
  <c r="P83" i="13"/>
  <c r="AK117" i="13"/>
  <c r="AL117" i="13" s="1"/>
  <c r="G149" i="13"/>
  <c r="U22" i="13"/>
  <c r="U21" i="13"/>
  <c r="S116" i="13"/>
  <c r="R116" i="13"/>
  <c r="U116" i="13"/>
  <c r="O116" i="13"/>
  <c r="K148" i="13"/>
  <c r="T148" i="13" s="1"/>
  <c r="R80" i="13"/>
  <c r="P82" i="13"/>
  <c r="AH82" i="13"/>
  <c r="O114" i="13"/>
  <c r="K146" i="13"/>
  <c r="T146" i="13" s="1"/>
  <c r="AK118" i="13"/>
  <c r="AL118" i="13" s="1"/>
  <c r="G150" i="13"/>
  <c r="U16" i="13"/>
  <c r="K145" i="13"/>
  <c r="T145" i="13" s="1"/>
  <c r="O113" i="13"/>
  <c r="AH112" i="13"/>
  <c r="O115" i="13"/>
  <c r="K147" i="13"/>
  <c r="T147" i="13" s="1"/>
  <c r="O150" i="13"/>
  <c r="S55" i="13"/>
  <c r="R55" i="13"/>
  <c r="AK116" i="13"/>
  <c r="AL116" i="13" s="1"/>
  <c r="G148" i="13"/>
  <c r="AK119" i="13"/>
  <c r="AL119" i="13" s="1"/>
  <c r="G151" i="13"/>
  <c r="AK112" i="13"/>
  <c r="AL112" i="13" s="1"/>
  <c r="G144" i="13"/>
  <c r="S53" i="13"/>
  <c r="R53" i="13"/>
  <c r="P84" i="13"/>
  <c r="AH84" i="13"/>
  <c r="O151" i="13"/>
  <c r="U19" i="13"/>
  <c r="U23" i="13"/>
  <c r="U17" i="13"/>
  <c r="AH85" i="13"/>
  <c r="P85" i="13"/>
  <c r="K149" i="13"/>
  <c r="T149" i="13" s="1"/>
  <c r="O117" i="13"/>
  <c r="U18" i="13"/>
  <c r="AH81" i="13"/>
  <c r="P81" i="13"/>
  <c r="R51" i="13"/>
  <c r="R48" i="13"/>
  <c r="S48" i="13"/>
  <c r="Q33" i="29"/>
  <c r="Z158" i="29"/>
  <c r="Z54" i="29" s="1"/>
  <c r="AA52" i="29"/>
  <c r="R26" i="29" s="1"/>
  <c r="M139" i="35" s="1"/>
  <c r="K52" i="29"/>
  <c r="P13" i="29"/>
  <c r="P15" i="29" s="1"/>
  <c r="P28" i="29"/>
  <c r="P32" i="29" s="1"/>
  <c r="Q35" i="29"/>
  <c r="O25" i="29"/>
  <c r="H69" i="31"/>
  <c r="AA10" i="53"/>
  <c r="M102" i="35"/>
  <c r="I91" i="49"/>
  <c r="K24" i="18"/>
  <c r="AE47" i="13"/>
  <c r="R47" i="13" s="1"/>
  <c r="F34" i="37"/>
  <c r="S12" i="36"/>
  <c r="V15" i="36"/>
  <c r="V24" i="36"/>
  <c r="V40" i="36"/>
  <c r="V56" i="36"/>
  <c r="AF8" i="36"/>
  <c r="V31" i="36"/>
  <c r="V47" i="36"/>
  <c r="V63" i="36"/>
  <c r="V38" i="36"/>
  <c r="V70" i="36"/>
  <c r="V45" i="36"/>
  <c r="V16" i="36"/>
  <c r="V42" i="36"/>
  <c r="V17" i="36"/>
  <c r="V49" i="36"/>
  <c r="V32" i="36"/>
  <c r="V64" i="36"/>
  <c r="V55" i="36"/>
  <c r="V61" i="36"/>
  <c r="V33" i="36"/>
  <c r="Y8" i="36"/>
  <c r="V28" i="36"/>
  <c r="V44" i="36"/>
  <c r="V60" i="36"/>
  <c r="V19" i="36"/>
  <c r="V35" i="36"/>
  <c r="V51" i="36"/>
  <c r="V67" i="36"/>
  <c r="V46" i="36"/>
  <c r="V21" i="36"/>
  <c r="V53" i="36"/>
  <c r="V18" i="36"/>
  <c r="V50" i="36"/>
  <c r="V25" i="36"/>
  <c r="V57" i="36"/>
  <c r="V48" i="36"/>
  <c r="V39" i="36"/>
  <c r="V22" i="36"/>
  <c r="V26" i="36"/>
  <c r="V65" i="36"/>
  <c r="V29" i="36"/>
  <c r="V14" i="36"/>
  <c r="K30" i="37" s="1"/>
  <c r="V20" i="36"/>
  <c r="V36" i="36"/>
  <c r="V52" i="36"/>
  <c r="V68" i="36"/>
  <c r="V27" i="36"/>
  <c r="V43" i="36"/>
  <c r="V59" i="36"/>
  <c r="V30" i="36"/>
  <c r="V62" i="36"/>
  <c r="V37" i="36"/>
  <c r="V69" i="36"/>
  <c r="V34" i="36"/>
  <c r="V66" i="36"/>
  <c r="V41" i="36"/>
  <c r="V23" i="36"/>
  <c r="V54" i="36"/>
  <c r="V58" i="36"/>
  <c r="AC35" i="36"/>
  <c r="AC32" i="36"/>
  <c r="AC52" i="36"/>
  <c r="AC40" i="36"/>
  <c r="AC36" i="36"/>
  <c r="AC58" i="36"/>
  <c r="AC53" i="36"/>
  <c r="AC47" i="36"/>
  <c r="AC70" i="36"/>
  <c r="AC41" i="36"/>
  <c r="AC57" i="36"/>
  <c r="AC22" i="36"/>
  <c r="AC59" i="36"/>
  <c r="AC66" i="36"/>
  <c r="AC28" i="36"/>
  <c r="AC24" i="36"/>
  <c r="AC60" i="36"/>
  <c r="AC15" i="36"/>
  <c r="AC25" i="36"/>
  <c r="AC55" i="36"/>
  <c r="AC67" i="36"/>
  <c r="AC45" i="36"/>
  <c r="AC37" i="36"/>
  <c r="AC61" i="36"/>
  <c r="AC31" i="36"/>
  <c r="AC63" i="36"/>
  <c r="AC16" i="36"/>
  <c r="AC68" i="36"/>
  <c r="AC43" i="36"/>
  <c r="AC51" i="36"/>
  <c r="AC21" i="36"/>
  <c r="AC42" i="36"/>
  <c r="AC30" i="36"/>
  <c r="AC23" i="36"/>
  <c r="AC34" i="36"/>
  <c r="AC56" i="36"/>
  <c r="AC48" i="36"/>
  <c r="AC27" i="36"/>
  <c r="AC49" i="36"/>
  <c r="AC17" i="36"/>
  <c r="AC62" i="36"/>
  <c r="AC26" i="36"/>
  <c r="AC14" i="36"/>
  <c r="H21" i="37" s="1"/>
  <c r="AC33" i="36"/>
  <c r="AC19" i="36"/>
  <c r="AC20" i="36"/>
  <c r="AC46" i="36"/>
  <c r="AC44" i="36"/>
  <c r="AC65" i="36"/>
  <c r="AC54" i="36"/>
  <c r="AC38" i="36"/>
  <c r="AC29" i="36"/>
  <c r="AC50" i="36"/>
  <c r="AC69" i="36"/>
  <c r="AC39" i="36"/>
  <c r="AC18" i="36"/>
  <c r="AC64" i="36"/>
  <c r="U15" i="43"/>
  <c r="T141" i="43"/>
  <c r="T12" i="43" s="1"/>
  <c r="L120" i="53"/>
  <c r="L100" i="53"/>
  <c r="L132" i="53"/>
  <c r="J141" i="53"/>
  <c r="J12" i="53" s="1"/>
  <c r="L136" i="53"/>
  <c r="Q141" i="53"/>
  <c r="Q12" i="53" s="1"/>
  <c r="L85" i="53"/>
  <c r="L53" i="53"/>
  <c r="K91" i="53"/>
  <c r="I91" i="43" s="1"/>
  <c r="K59" i="53"/>
  <c r="I59" i="43" s="1"/>
  <c r="K63" i="53"/>
  <c r="I63" i="43" s="1"/>
  <c r="K131" i="53"/>
  <c r="I131" i="43" s="1"/>
  <c r="K27" i="53"/>
  <c r="I27" i="43" s="1"/>
  <c r="K39" i="53"/>
  <c r="I39" i="43" s="1"/>
  <c r="L108" i="53"/>
  <c r="K19" i="53"/>
  <c r="I19" i="43" s="1"/>
  <c r="K67" i="53"/>
  <c r="I67" i="43" s="1"/>
  <c r="K135" i="53"/>
  <c r="I135" i="43" s="1"/>
  <c r="K79" i="53"/>
  <c r="I79" i="43" s="1"/>
  <c r="L16" i="53"/>
  <c r="K115" i="53"/>
  <c r="I115" i="43" s="1"/>
  <c r="K83" i="53"/>
  <c r="I83" i="43" s="1"/>
  <c r="K55" i="53"/>
  <c r="I55" i="43" s="1"/>
  <c r="L97" i="53"/>
  <c r="K47" i="53"/>
  <c r="I47" i="43" s="1"/>
  <c r="L119" i="53"/>
  <c r="K123" i="53"/>
  <c r="I123" i="43" s="1"/>
  <c r="K75" i="53"/>
  <c r="I75" i="43" s="1"/>
  <c r="K35" i="53"/>
  <c r="I35" i="43" s="1"/>
  <c r="L36" i="53"/>
  <c r="L107" i="53"/>
  <c r="K87" i="53"/>
  <c r="I87" i="43" s="1"/>
  <c r="K111" i="53"/>
  <c r="I111" i="43" s="1"/>
  <c r="K23" i="53"/>
  <c r="I23" i="43" s="1"/>
  <c r="K51" i="53"/>
  <c r="I51" i="43" s="1"/>
  <c r="K43" i="53"/>
  <c r="I43" i="43" s="1"/>
  <c r="K139" i="53"/>
  <c r="I139" i="43" s="1"/>
  <c r="K99" i="53"/>
  <c r="I99" i="43" s="1"/>
  <c r="K34" i="53"/>
  <c r="I34" i="43" s="1"/>
  <c r="K62" i="53"/>
  <c r="I62" i="43" s="1"/>
  <c r="K74" i="53"/>
  <c r="I74" i="43" s="1"/>
  <c r="AI15" i="53"/>
  <c r="K102" i="53"/>
  <c r="I102" i="43" s="1"/>
  <c r="K138" i="53"/>
  <c r="I138" i="43" s="1"/>
  <c r="K122" i="53"/>
  <c r="I122" i="43" s="1"/>
  <c r="K114" i="53"/>
  <c r="I114" i="43" s="1"/>
  <c r="K118" i="53"/>
  <c r="I118" i="43" s="1"/>
  <c r="K90" i="53"/>
  <c r="I90" i="43" s="1"/>
  <c r="L42" i="53"/>
  <c r="AG141" i="53"/>
  <c r="AG12" i="53" s="1"/>
  <c r="K18" i="53"/>
  <c r="I18" i="43" s="1"/>
  <c r="K130" i="53"/>
  <c r="I130" i="43" s="1"/>
  <c r="L101" i="53"/>
  <c r="L71" i="53"/>
  <c r="K58" i="53"/>
  <c r="I58" i="43" s="1"/>
  <c r="K134" i="53"/>
  <c r="I134" i="43" s="1"/>
  <c r="K98" i="53"/>
  <c r="I98" i="43" s="1"/>
  <c r="K78" i="53"/>
  <c r="I78" i="43" s="1"/>
  <c r="L31" i="53"/>
  <c r="K26" i="53"/>
  <c r="I26" i="43" s="1"/>
  <c r="K22" i="53"/>
  <c r="I22" i="43" s="1"/>
  <c r="L81" i="53"/>
  <c r="K94" i="53"/>
  <c r="I94" i="43" s="1"/>
  <c r="K86" i="53"/>
  <c r="I86" i="43" s="1"/>
  <c r="K50" i="53"/>
  <c r="I50" i="43" s="1"/>
  <c r="K82" i="53"/>
  <c r="I82" i="43" s="1"/>
  <c r="K126" i="53"/>
  <c r="I126" i="43" s="1"/>
  <c r="K66" i="53"/>
  <c r="I66" i="43" s="1"/>
  <c r="K30" i="53"/>
  <c r="I30" i="43" s="1"/>
  <c r="K70" i="53"/>
  <c r="I70" i="43" s="1"/>
  <c r="K54" i="53"/>
  <c r="I54" i="43" s="1"/>
  <c r="K38" i="53"/>
  <c r="I38" i="43" s="1"/>
  <c r="L137" i="53"/>
  <c r="L28" i="53"/>
  <c r="K46" i="53"/>
  <c r="I46" i="43" s="1"/>
  <c r="K201" i="31"/>
  <c r="K168" i="31"/>
  <c r="K175" i="31"/>
  <c r="H79" i="31"/>
  <c r="H77" i="31"/>
  <c r="H78" i="31"/>
  <c r="J150" i="24"/>
  <c r="J15" i="24" s="1"/>
  <c r="I68" i="31"/>
  <c r="I67" i="31"/>
  <c r="J152" i="31"/>
  <c r="J151" i="31"/>
  <c r="J129" i="31"/>
  <c r="J195" i="31"/>
  <c r="J205" i="31"/>
  <c r="J104" i="31"/>
  <c r="J179" i="31"/>
  <c r="K207" i="31"/>
  <c r="J111" i="31"/>
  <c r="J192" i="31"/>
  <c r="J208" i="31"/>
  <c r="K237" i="31"/>
  <c r="J117" i="31"/>
  <c r="K169" i="31"/>
  <c r="J176" i="31"/>
  <c r="K193" i="31"/>
  <c r="J223" i="31"/>
  <c r="K164" i="31"/>
  <c r="K213" i="31"/>
  <c r="K127" i="31"/>
  <c r="J189" i="31"/>
  <c r="J228" i="31"/>
  <c r="J219" i="31"/>
  <c r="K173" i="31"/>
  <c r="J221" i="31"/>
  <c r="K185" i="31"/>
  <c r="J232" i="31"/>
  <c r="K224" i="31"/>
  <c r="K231" i="31"/>
  <c r="J211" i="31"/>
  <c r="J233" i="31"/>
  <c r="K181" i="31"/>
  <c r="J227" i="31"/>
  <c r="K187" i="31"/>
  <c r="I66" i="31"/>
  <c r="K196" i="31"/>
  <c r="T67" i="13"/>
  <c r="AB67" i="13"/>
  <c r="AK111" i="13"/>
  <c r="G143" i="13"/>
  <c r="Q14" i="29"/>
  <c r="AF95" i="13"/>
  <c r="AF52" i="13"/>
  <c r="AF57" i="13"/>
  <c r="AF88" i="13"/>
  <c r="AF80" i="13"/>
  <c r="S80" i="13" s="1"/>
  <c r="AF61" i="13"/>
  <c r="AF49" i="13"/>
  <c r="S49" i="13" s="1"/>
  <c r="AF62" i="13"/>
  <c r="AF58" i="13"/>
  <c r="AJ145" i="13"/>
  <c r="AD128" i="13"/>
  <c r="AE128" i="13"/>
  <c r="AJ155" i="13"/>
  <c r="AJ144" i="13"/>
  <c r="AJ115" i="13"/>
  <c r="AJ162" i="13"/>
  <c r="AF98" i="13"/>
  <c r="AD86" i="13"/>
  <c r="AE86" i="13"/>
  <c r="R86" i="13" s="1"/>
  <c r="AD130" i="13"/>
  <c r="AE130" i="13"/>
  <c r="AD83" i="13"/>
  <c r="AE83" i="13"/>
  <c r="AD112" i="13"/>
  <c r="AE112" i="13"/>
  <c r="AD126" i="13"/>
  <c r="AE126" i="13"/>
  <c r="AD97" i="13"/>
  <c r="AE97" i="13"/>
  <c r="AJ125" i="13"/>
  <c r="AJ121" i="13"/>
  <c r="AJ151" i="13"/>
  <c r="AJ114" i="13"/>
  <c r="AD84" i="13"/>
  <c r="AE84" i="13"/>
  <c r="AJ150" i="13"/>
  <c r="AJ149" i="13"/>
  <c r="AJ129" i="13"/>
  <c r="AF94" i="13"/>
  <c r="AF92" i="13"/>
  <c r="AF59" i="13"/>
  <c r="AE127" i="13"/>
  <c r="AD127" i="13"/>
  <c r="AD90" i="13"/>
  <c r="AE90" i="13"/>
  <c r="AE123" i="13"/>
  <c r="AD123" i="13"/>
  <c r="AD124" i="13"/>
  <c r="AE124" i="13"/>
  <c r="AD89" i="13"/>
  <c r="AE89" i="13"/>
  <c r="AF96" i="13"/>
  <c r="AF65" i="13"/>
  <c r="AF56" i="13"/>
  <c r="AJ160" i="13"/>
  <c r="AJ158" i="13"/>
  <c r="AJ122" i="13"/>
  <c r="AF51" i="13"/>
  <c r="S51" i="13" s="1"/>
  <c r="AF63" i="13"/>
  <c r="AD82" i="13"/>
  <c r="AE82" i="13"/>
  <c r="AE93" i="13"/>
  <c r="AD93" i="13"/>
  <c r="AF91" i="13"/>
  <c r="AD120" i="13"/>
  <c r="AE120" i="13"/>
  <c r="AD116" i="13"/>
  <c r="AE116" i="13"/>
  <c r="K158" i="29"/>
  <c r="K54" i="29" s="1"/>
  <c r="R53" i="29"/>
  <c r="K53" i="29"/>
  <c r="R158" i="29"/>
  <c r="R54" i="29" s="1"/>
  <c r="AL79" i="13"/>
  <c r="AL99" i="13" s="1"/>
  <c r="J268" i="18" s="1"/>
  <c r="O143" i="13"/>
  <c r="I143" i="13"/>
  <c r="AJ111" i="13"/>
  <c r="P67" i="13"/>
  <c r="AH111" i="13"/>
  <c r="P111" i="13"/>
  <c r="I194" i="13"/>
  <c r="AB194" i="13" s="1"/>
  <c r="E179" i="13"/>
  <c r="J179" i="13" s="1"/>
  <c r="I161" i="13"/>
  <c r="AB161" i="13" s="1"/>
  <c r="K183" i="13"/>
  <c r="T183" i="13" s="1"/>
  <c r="I147" i="13"/>
  <c r="AB147" i="13" s="1"/>
  <c r="K190" i="13"/>
  <c r="T190" i="13" s="1"/>
  <c r="G194" i="13"/>
  <c r="AK194" i="13" s="1"/>
  <c r="AL194" i="13" s="1"/>
  <c r="E180" i="13"/>
  <c r="J180" i="13" s="1"/>
  <c r="G179" i="13"/>
  <c r="AK179" i="13" s="1"/>
  <c r="AL179" i="13" s="1"/>
  <c r="I191" i="13"/>
  <c r="AB191" i="13" s="1"/>
  <c r="I181" i="13"/>
  <c r="AB181" i="13" s="1"/>
  <c r="E146" i="13"/>
  <c r="J146" i="13" s="1"/>
  <c r="I146" i="13"/>
  <c r="AB146" i="13" s="1"/>
  <c r="Z15" i="53"/>
  <c r="Y141" i="53"/>
  <c r="Y12" i="53" s="1"/>
  <c r="K225" i="31"/>
  <c r="K236" i="31"/>
  <c r="L37" i="53"/>
  <c r="L125" i="53"/>
  <c r="I182" i="13"/>
  <c r="AB182" i="13" s="1"/>
  <c r="I154" i="13"/>
  <c r="AB154" i="13" s="1"/>
  <c r="L95" i="53"/>
  <c r="L103" i="53"/>
  <c r="G141" i="43"/>
  <c r="G12" i="43" s="1"/>
  <c r="I184" i="13"/>
  <c r="AB184" i="13" s="1"/>
  <c r="AG141" i="43"/>
  <c r="AG12" i="43" s="1"/>
  <c r="AH15" i="43"/>
  <c r="K220" i="31"/>
  <c r="I183" i="13"/>
  <c r="AB183" i="13" s="1"/>
  <c r="AR15" i="53"/>
  <c r="AQ141" i="53"/>
  <c r="AQ12" i="53" s="1"/>
  <c r="L69" i="53"/>
  <c r="I176" i="13"/>
  <c r="AB176" i="13" s="1"/>
  <c r="K229" i="31"/>
  <c r="AE55" i="36"/>
  <c r="AG15" i="36"/>
  <c r="AG18" i="36"/>
  <c r="AG20" i="36"/>
  <c r="AG22" i="36"/>
  <c r="AG24" i="36"/>
  <c r="AG26" i="36"/>
  <c r="AG28" i="36"/>
  <c r="AG30" i="36"/>
  <c r="AG32" i="36"/>
  <c r="AG34" i="36"/>
  <c r="AG36" i="36"/>
  <c r="AG38" i="36"/>
  <c r="AG40" i="36"/>
  <c r="AG42" i="36"/>
  <c r="AG44" i="36"/>
  <c r="AG46" i="36"/>
  <c r="AG48" i="36"/>
  <c r="AG50" i="36"/>
  <c r="AG52" i="36"/>
  <c r="AG54" i="36"/>
  <c r="AG56" i="36"/>
  <c r="AG58" i="36"/>
  <c r="AG60" i="36"/>
  <c r="AG62" i="36"/>
  <c r="AG64" i="36"/>
  <c r="AG66" i="36"/>
  <c r="AG68" i="36"/>
  <c r="AG70" i="36"/>
  <c r="AG16" i="36"/>
  <c r="AG17" i="36"/>
  <c r="AG21" i="36"/>
  <c r="AG25" i="36"/>
  <c r="AG29" i="36"/>
  <c r="AG33" i="36"/>
  <c r="AG37" i="36"/>
  <c r="AG41" i="36"/>
  <c r="AG45" i="36"/>
  <c r="AG49" i="36"/>
  <c r="AG53" i="36"/>
  <c r="AG57" i="36"/>
  <c r="AG61" i="36"/>
  <c r="AG65" i="36"/>
  <c r="AG69" i="36"/>
  <c r="AG14" i="36"/>
  <c r="L21" i="37" s="1"/>
  <c r="AG19" i="36"/>
  <c r="AG23" i="36"/>
  <c r="AG27" i="36"/>
  <c r="AG31" i="36"/>
  <c r="AG35" i="36"/>
  <c r="AG39" i="36"/>
  <c r="AG43" i="36"/>
  <c r="AG47" i="36"/>
  <c r="AG51" i="36"/>
  <c r="AG55" i="36"/>
  <c r="AG59" i="36"/>
  <c r="AG63" i="36"/>
  <c r="AG67" i="36"/>
  <c r="K21" i="39"/>
  <c r="F55" i="49"/>
  <c r="K16" i="39"/>
  <c r="I38" i="40" s="1"/>
  <c r="K47" i="39"/>
  <c r="J54" i="39"/>
  <c r="K20" i="39"/>
  <c r="K19" i="39"/>
  <c r="K14" i="39"/>
  <c r="I37" i="40" s="1"/>
  <c r="K43" i="39"/>
  <c r="J45" i="39"/>
  <c r="H44" i="40" s="1"/>
  <c r="K19" i="48"/>
  <c r="N83" i="35"/>
  <c r="M89" i="35"/>
  <c r="N122" i="35"/>
  <c r="M122" i="35"/>
  <c r="K210" i="35"/>
  <c r="K92" i="35"/>
  <c r="H22" i="38" s="1"/>
  <c r="L132" i="35"/>
  <c r="N127" i="35"/>
  <c r="M129" i="35"/>
  <c r="L205" i="35"/>
  <c r="L79" i="35"/>
  <c r="L206" i="35" s="1"/>
  <c r="G188" i="13"/>
  <c r="AK188" i="13" s="1"/>
  <c r="AL188" i="13" s="1"/>
  <c r="G178" i="13"/>
  <c r="AK178" i="13" s="1"/>
  <c r="AL178" i="13" s="1"/>
  <c r="G192" i="13"/>
  <c r="AK192" i="13" s="1"/>
  <c r="AL192" i="13" s="1"/>
  <c r="E153" i="13"/>
  <c r="J153" i="13" s="1"/>
  <c r="G193" i="13"/>
  <c r="AK193" i="13" s="1"/>
  <c r="AL193" i="13" s="1"/>
  <c r="J76" i="18"/>
  <c r="J88" i="18"/>
  <c r="J254" i="18" s="1"/>
  <c r="K83" i="18"/>
  <c r="K253" i="18" s="1"/>
  <c r="I100" i="18"/>
  <c r="L61" i="18"/>
  <c r="K64" i="18"/>
  <c r="K252" i="18" s="1"/>
  <c r="L97" i="18"/>
  <c r="L261" i="18" s="1"/>
  <c r="E160" i="13"/>
  <c r="J160" i="13" s="1"/>
  <c r="E190" i="13"/>
  <c r="J190" i="13" s="1"/>
  <c r="I177" i="13"/>
  <c r="AB177" i="13" s="1"/>
  <c r="I187" i="13"/>
  <c r="AB187" i="13" s="1"/>
  <c r="I192" i="13"/>
  <c r="AB192" i="13" s="1"/>
  <c r="E151" i="13"/>
  <c r="J151" i="13" s="1"/>
  <c r="E145" i="13"/>
  <c r="J145" i="13" s="1"/>
  <c r="I190" i="13"/>
  <c r="AB190" i="13" s="1"/>
  <c r="G158" i="13"/>
  <c r="AK158" i="13" s="1"/>
  <c r="AL158" i="13" s="1"/>
  <c r="E176" i="13"/>
  <c r="J176" i="13" s="1"/>
  <c r="E152" i="13"/>
  <c r="J152" i="13" s="1"/>
  <c r="E159" i="13"/>
  <c r="J159" i="13" s="1"/>
  <c r="I157" i="13"/>
  <c r="AB157" i="13" s="1"/>
  <c r="K161" i="13"/>
  <c r="T161" i="13" s="1"/>
  <c r="E156" i="13"/>
  <c r="J156" i="13" s="1"/>
  <c r="E155" i="13"/>
  <c r="J155" i="13" s="1"/>
  <c r="I153" i="13"/>
  <c r="AB153" i="13" s="1"/>
  <c r="O10" i="29"/>
  <c r="P10" i="29"/>
  <c r="P12" i="29" s="1"/>
  <c r="Q20" i="29"/>
  <c r="I30" i="18"/>
  <c r="K175" i="13"/>
  <c r="J14" i="37"/>
  <c r="AJ156" i="13" l="1"/>
  <c r="G177" i="13"/>
  <c r="AK177" i="13" s="1"/>
  <c r="AL177" i="13" s="1"/>
  <c r="I188" i="13"/>
  <c r="AB188" i="13" s="1"/>
  <c r="AJ148" i="13"/>
  <c r="J110" i="49"/>
  <c r="H110" i="49"/>
  <c r="K110" i="49"/>
  <c r="L110" i="49"/>
  <c r="I110" i="49"/>
  <c r="J114" i="49"/>
  <c r="H114" i="49"/>
  <c r="K114" i="49"/>
  <c r="L114" i="49"/>
  <c r="I114" i="49"/>
  <c r="H85" i="38"/>
  <c r="I33" i="38"/>
  <c r="J31" i="37"/>
  <c r="J27" i="38"/>
  <c r="G32" i="44"/>
  <c r="I24" i="24"/>
  <c r="T41" i="53"/>
  <c r="L15" i="18"/>
  <c r="O26" i="35"/>
  <c r="N73" i="18"/>
  <c r="K235" i="31"/>
  <c r="L183" i="31"/>
  <c r="T32" i="53"/>
  <c r="T65" i="53"/>
  <c r="T40" i="53"/>
  <c r="T72" i="53"/>
  <c r="T110" i="53"/>
  <c r="T106" i="53"/>
  <c r="T96" i="53"/>
  <c r="T24" i="53"/>
  <c r="O222" i="35"/>
  <c r="M53" i="29"/>
  <c r="I54" i="49"/>
  <c r="J65" i="39"/>
  <c r="I52" i="40" s="1"/>
  <c r="L116" i="31"/>
  <c r="T49" i="53"/>
  <c r="T57" i="53"/>
  <c r="T124" i="53"/>
  <c r="T44" i="53"/>
  <c r="T56" i="53"/>
  <c r="T76" i="53"/>
  <c r="T21" i="53"/>
  <c r="AD53" i="29"/>
  <c r="U29" i="29" s="1"/>
  <c r="M52" i="29"/>
  <c r="T17" i="53"/>
  <c r="T128" i="53"/>
  <c r="T129" i="53"/>
  <c r="T20" i="53"/>
  <c r="T77" i="53"/>
  <c r="T117" i="53"/>
  <c r="M158" i="29"/>
  <c r="M54" i="29" s="1"/>
  <c r="T15" i="53"/>
  <c r="T104" i="53"/>
  <c r="T133" i="53"/>
  <c r="T45" i="53"/>
  <c r="T109" i="53"/>
  <c r="T29" i="53"/>
  <c r="T25" i="53"/>
  <c r="T92" i="53"/>
  <c r="T60" i="53"/>
  <c r="T61" i="53"/>
  <c r="AD158" i="29"/>
  <c r="AD54" i="29" s="1"/>
  <c r="AD52" i="29"/>
  <c r="U26" i="29" s="1"/>
  <c r="M260" i="18"/>
  <c r="R73" i="43"/>
  <c r="AD73" i="43"/>
  <c r="T103" i="53"/>
  <c r="J103" i="43"/>
  <c r="P46" i="43"/>
  <c r="AB46" i="43"/>
  <c r="P126" i="43"/>
  <c r="AB126" i="43"/>
  <c r="P58" i="43"/>
  <c r="AB58" i="43"/>
  <c r="P118" i="43"/>
  <c r="AB118" i="43"/>
  <c r="P102" i="43"/>
  <c r="AB102" i="43"/>
  <c r="P51" i="43"/>
  <c r="AB51" i="43"/>
  <c r="T107" i="53"/>
  <c r="J107" i="43"/>
  <c r="P55" i="43"/>
  <c r="AB55" i="43"/>
  <c r="P63" i="43"/>
  <c r="AB63" i="43"/>
  <c r="T132" i="53"/>
  <c r="J132" i="43"/>
  <c r="R106" i="43"/>
  <c r="AD106" i="43"/>
  <c r="R129" i="43"/>
  <c r="AD129" i="43"/>
  <c r="R110" i="43"/>
  <c r="AD110" i="43"/>
  <c r="R56" i="43"/>
  <c r="AD56" i="43"/>
  <c r="R96" i="43"/>
  <c r="AD96" i="43"/>
  <c r="R25" i="43"/>
  <c r="AD25" i="43"/>
  <c r="Q121" i="43"/>
  <c r="AC121" i="43"/>
  <c r="AB127" i="43"/>
  <c r="P127" i="43"/>
  <c r="T80" i="53"/>
  <c r="J80" i="43"/>
  <c r="Q65" i="43"/>
  <c r="AC65" i="43"/>
  <c r="Q40" i="43"/>
  <c r="AC40" i="43"/>
  <c r="AC110" i="43"/>
  <c r="Q110" i="43"/>
  <c r="Q96" i="43"/>
  <c r="AC96" i="43"/>
  <c r="Q24" i="43"/>
  <c r="AC24" i="43"/>
  <c r="T95" i="53"/>
  <c r="J95" i="43"/>
  <c r="T37" i="53"/>
  <c r="J37" i="43"/>
  <c r="T28" i="53"/>
  <c r="J28" i="43"/>
  <c r="P70" i="43"/>
  <c r="AB70" i="43"/>
  <c r="P82" i="43"/>
  <c r="AB82" i="43"/>
  <c r="T81" i="53"/>
  <c r="J81" i="43"/>
  <c r="P78" i="43"/>
  <c r="AB78" i="43"/>
  <c r="T71" i="53"/>
  <c r="J71" i="43"/>
  <c r="T88" i="53"/>
  <c r="J88" i="43"/>
  <c r="R92" i="43"/>
  <c r="AD92" i="43"/>
  <c r="R105" i="43"/>
  <c r="AD105" i="43"/>
  <c r="Q44" i="43"/>
  <c r="AC44" i="43"/>
  <c r="P33" i="43"/>
  <c r="AB33" i="43"/>
  <c r="Q56" i="43"/>
  <c r="AC56" i="43"/>
  <c r="AC76" i="43"/>
  <c r="Q76" i="43"/>
  <c r="Q21" i="43"/>
  <c r="AC21" i="43"/>
  <c r="T116" i="53"/>
  <c r="J116" i="43"/>
  <c r="T137" i="53"/>
  <c r="J137" i="43"/>
  <c r="P30" i="43"/>
  <c r="AB30" i="43"/>
  <c r="P50" i="43"/>
  <c r="AB50" i="43"/>
  <c r="P22" i="43"/>
  <c r="AB22" i="43"/>
  <c r="P98" i="43"/>
  <c r="AB98" i="43"/>
  <c r="T101" i="53"/>
  <c r="J101" i="43"/>
  <c r="T42" i="53"/>
  <c r="J42" i="43"/>
  <c r="P122" i="43"/>
  <c r="AB122" i="43"/>
  <c r="P74" i="43"/>
  <c r="AB74" i="43"/>
  <c r="P139" i="43"/>
  <c r="AB139" i="43"/>
  <c r="AB111" i="43"/>
  <c r="P111" i="43"/>
  <c r="P35" i="43"/>
  <c r="AB35" i="43"/>
  <c r="P47" i="43"/>
  <c r="AB47" i="43"/>
  <c r="P115" i="43"/>
  <c r="AB115" i="43"/>
  <c r="P67" i="43"/>
  <c r="AB67" i="43"/>
  <c r="P27" i="43"/>
  <c r="AB27" i="43"/>
  <c r="P91" i="43"/>
  <c r="AB91" i="43"/>
  <c r="T136" i="53"/>
  <c r="J136" i="43"/>
  <c r="T120" i="53"/>
  <c r="J120" i="43"/>
  <c r="R65" i="43"/>
  <c r="AD65" i="43"/>
  <c r="R84" i="43"/>
  <c r="AD84" i="43"/>
  <c r="R41" i="43"/>
  <c r="AD41" i="43"/>
  <c r="R72" i="43"/>
  <c r="AD72" i="43"/>
  <c r="R117" i="43"/>
  <c r="AD117" i="43"/>
  <c r="R61" i="43"/>
  <c r="AD61" i="43"/>
  <c r="R124" i="43"/>
  <c r="AD124" i="43"/>
  <c r="R128" i="43"/>
  <c r="AD128" i="43"/>
  <c r="R60" i="43"/>
  <c r="AD60" i="43"/>
  <c r="R77" i="43"/>
  <c r="AD77" i="43"/>
  <c r="M116" i="53"/>
  <c r="K116" i="43" s="1"/>
  <c r="R68" i="43"/>
  <c r="AD68" i="43"/>
  <c r="T33" i="53"/>
  <c r="J33" i="43"/>
  <c r="Q68" i="43"/>
  <c r="AC68" i="43"/>
  <c r="Q17" i="43"/>
  <c r="AC17" i="43"/>
  <c r="P88" i="43"/>
  <c r="AB88" i="43"/>
  <c r="T84" i="53"/>
  <c r="J84" i="43"/>
  <c r="Q128" i="43"/>
  <c r="AC128" i="43"/>
  <c r="Q129" i="43"/>
  <c r="AC129" i="43"/>
  <c r="Q20" i="43"/>
  <c r="AC20" i="43"/>
  <c r="Q77" i="43"/>
  <c r="AC77" i="43"/>
  <c r="Q117" i="43"/>
  <c r="AC117" i="43"/>
  <c r="P48" i="43"/>
  <c r="AB48" i="43"/>
  <c r="Q41" i="43"/>
  <c r="AC41" i="43"/>
  <c r="T125" i="53"/>
  <c r="J125" i="43"/>
  <c r="P54" i="43"/>
  <c r="AB54" i="43"/>
  <c r="P94" i="43"/>
  <c r="AB94" i="43"/>
  <c r="T31" i="53"/>
  <c r="J31" i="43"/>
  <c r="P18" i="43"/>
  <c r="AB18" i="43"/>
  <c r="P34" i="43"/>
  <c r="AB34" i="43"/>
  <c r="P123" i="43"/>
  <c r="AB123" i="43"/>
  <c r="P79" i="43"/>
  <c r="AB79" i="43"/>
  <c r="T108" i="53"/>
  <c r="J108" i="43"/>
  <c r="T85" i="53"/>
  <c r="J85" i="43"/>
  <c r="R17" i="43"/>
  <c r="AD17" i="43"/>
  <c r="R76" i="43"/>
  <c r="AD76" i="43"/>
  <c r="R21" i="43"/>
  <c r="AD21" i="43"/>
  <c r="R44" i="43"/>
  <c r="AD44" i="43"/>
  <c r="R40" i="43"/>
  <c r="AD40" i="43"/>
  <c r="R109" i="43"/>
  <c r="AD109" i="43"/>
  <c r="T89" i="53"/>
  <c r="J89" i="43"/>
  <c r="R45" i="43"/>
  <c r="AD45" i="43"/>
  <c r="R133" i="43"/>
  <c r="AD133" i="43"/>
  <c r="Q32" i="43"/>
  <c r="AC32" i="43"/>
  <c r="Q72" i="43"/>
  <c r="AC72" i="43"/>
  <c r="P52" i="43"/>
  <c r="AB52" i="43"/>
  <c r="Q106" i="43"/>
  <c r="AC106" i="43"/>
  <c r="P114" i="43"/>
  <c r="AB114" i="43"/>
  <c r="P99" i="43"/>
  <c r="AB99" i="43"/>
  <c r="P23" i="43"/>
  <c r="AB23" i="43"/>
  <c r="T36" i="53"/>
  <c r="J36" i="43"/>
  <c r="T119" i="53"/>
  <c r="J119" i="43"/>
  <c r="P83" i="43"/>
  <c r="AB83" i="43"/>
  <c r="AB135" i="43"/>
  <c r="P135" i="43"/>
  <c r="P39" i="43"/>
  <c r="AB39" i="43"/>
  <c r="P59" i="43"/>
  <c r="AB59" i="43"/>
  <c r="T100" i="53"/>
  <c r="J100" i="43"/>
  <c r="T48" i="53"/>
  <c r="J48" i="43"/>
  <c r="R57" i="43"/>
  <c r="AD57" i="43"/>
  <c r="R112" i="43"/>
  <c r="AD112" i="43"/>
  <c r="Q64" i="43"/>
  <c r="AC64" i="43"/>
  <c r="R49" i="43"/>
  <c r="AD49" i="43"/>
  <c r="T73" i="53"/>
  <c r="J73" i="43"/>
  <c r="Q57" i="43"/>
  <c r="AC57" i="43"/>
  <c r="Q124" i="43"/>
  <c r="AC124" i="43"/>
  <c r="T69" i="53"/>
  <c r="J69" i="43"/>
  <c r="P38" i="43"/>
  <c r="AB38" i="43"/>
  <c r="P66" i="43"/>
  <c r="AB66" i="43"/>
  <c r="P86" i="43"/>
  <c r="AB86" i="43"/>
  <c r="P26" i="43"/>
  <c r="AB26" i="43"/>
  <c r="P134" i="43"/>
  <c r="AB134" i="43"/>
  <c r="P130" i="43"/>
  <c r="AB130" i="43"/>
  <c r="P90" i="43"/>
  <c r="AB90" i="43"/>
  <c r="P138" i="43"/>
  <c r="AB138" i="43"/>
  <c r="P62" i="43"/>
  <c r="AB62" i="43"/>
  <c r="P43" i="43"/>
  <c r="AB43" i="43"/>
  <c r="AB87" i="43"/>
  <c r="P87" i="43"/>
  <c r="P75" i="43"/>
  <c r="AB75" i="43"/>
  <c r="T97" i="53"/>
  <c r="J97" i="43"/>
  <c r="T16" i="53"/>
  <c r="J16" i="43"/>
  <c r="P19" i="43"/>
  <c r="AB19" i="43"/>
  <c r="P131" i="43"/>
  <c r="AB131" i="43"/>
  <c r="T53" i="53"/>
  <c r="J53" i="43"/>
  <c r="T52" i="53"/>
  <c r="J52" i="43"/>
  <c r="AJ116" i="53"/>
  <c r="AJ73" i="53"/>
  <c r="R29" i="43"/>
  <c r="AD29" i="43"/>
  <c r="R24" i="43"/>
  <c r="AD24" i="43"/>
  <c r="R20" i="43"/>
  <c r="AD20" i="43"/>
  <c r="Q93" i="43"/>
  <c r="AC93" i="43"/>
  <c r="T105" i="53"/>
  <c r="J105" i="43"/>
  <c r="K32" i="43"/>
  <c r="T113" i="53"/>
  <c r="J113" i="43"/>
  <c r="T112" i="53"/>
  <c r="J112" i="43"/>
  <c r="L104" i="43"/>
  <c r="Q109" i="43"/>
  <c r="AC109" i="43"/>
  <c r="Q29" i="43"/>
  <c r="AC29" i="43"/>
  <c r="P77" i="43"/>
  <c r="AB77" i="43"/>
  <c r="Q25" i="43"/>
  <c r="AC25" i="43"/>
  <c r="AC92" i="43"/>
  <c r="Q92" i="43"/>
  <c r="Q60" i="43"/>
  <c r="AC60" i="43"/>
  <c r="Q61" i="43"/>
  <c r="AC61" i="43"/>
  <c r="AI66" i="53"/>
  <c r="S66" i="53"/>
  <c r="AI26" i="53"/>
  <c r="S26" i="53"/>
  <c r="AI134" i="53"/>
  <c r="S134" i="53"/>
  <c r="AI90" i="53"/>
  <c r="S90" i="53"/>
  <c r="AI138" i="53"/>
  <c r="S138" i="53"/>
  <c r="AI62" i="53"/>
  <c r="S62" i="53"/>
  <c r="AI87" i="53"/>
  <c r="S87" i="53"/>
  <c r="AI75" i="53"/>
  <c r="S75" i="53"/>
  <c r="AI19" i="53"/>
  <c r="S19" i="53"/>
  <c r="AI131" i="53"/>
  <c r="S131" i="53"/>
  <c r="N106" i="53"/>
  <c r="AL106" i="53" s="1"/>
  <c r="N129" i="53"/>
  <c r="N110" i="53"/>
  <c r="N21" i="53"/>
  <c r="N44" i="53"/>
  <c r="AL44" i="53" s="1"/>
  <c r="N60" i="53"/>
  <c r="N116" i="53"/>
  <c r="N73" i="53"/>
  <c r="N68" i="53"/>
  <c r="AI54" i="53"/>
  <c r="S54" i="53"/>
  <c r="AI126" i="53"/>
  <c r="S126" i="53"/>
  <c r="AI94" i="53"/>
  <c r="S94" i="53"/>
  <c r="AI58" i="53"/>
  <c r="S58" i="53"/>
  <c r="AI118" i="53"/>
  <c r="S118" i="53"/>
  <c r="AI34" i="53"/>
  <c r="S34" i="53"/>
  <c r="AI51" i="53"/>
  <c r="S51" i="53"/>
  <c r="AI55" i="53"/>
  <c r="S55" i="53"/>
  <c r="N57" i="53"/>
  <c r="N112" i="53"/>
  <c r="N133" i="53"/>
  <c r="AI70" i="53"/>
  <c r="S70" i="53"/>
  <c r="AI82" i="53"/>
  <c r="S82" i="53"/>
  <c r="AI78" i="53"/>
  <c r="S78" i="53"/>
  <c r="AI114" i="53"/>
  <c r="S114" i="53"/>
  <c r="AI99" i="53"/>
  <c r="S99" i="53"/>
  <c r="AI23" i="53"/>
  <c r="S23" i="53"/>
  <c r="AI83" i="53"/>
  <c r="S83" i="53"/>
  <c r="AI135" i="53"/>
  <c r="S135" i="53"/>
  <c r="AI39" i="53"/>
  <c r="S39" i="53"/>
  <c r="AI59" i="53"/>
  <c r="S59" i="53"/>
  <c r="N65" i="53"/>
  <c r="AL65" i="53" s="1"/>
  <c r="N84" i="53"/>
  <c r="N41" i="53"/>
  <c r="N72" i="53"/>
  <c r="N117" i="53"/>
  <c r="AL117" i="53" s="1"/>
  <c r="N61" i="53"/>
  <c r="N124" i="53"/>
  <c r="N128" i="53"/>
  <c r="M80" i="53"/>
  <c r="K80" i="43" s="1"/>
  <c r="N40" i="53"/>
  <c r="N109" i="53"/>
  <c r="N25" i="53"/>
  <c r="M113" i="53"/>
  <c r="K113" i="43" s="1"/>
  <c r="AJ121" i="53"/>
  <c r="T121" i="53"/>
  <c r="N45" i="53"/>
  <c r="AK133" i="53"/>
  <c r="N49" i="53"/>
  <c r="AJ68" i="53"/>
  <c r="T68" i="53"/>
  <c r="AI38" i="53"/>
  <c r="S38" i="53"/>
  <c r="AI86" i="53"/>
  <c r="S86" i="53"/>
  <c r="AI130" i="53"/>
  <c r="S130" i="53"/>
  <c r="AI43" i="53"/>
  <c r="S43" i="53"/>
  <c r="N17" i="53"/>
  <c r="N76" i="53"/>
  <c r="N56" i="53"/>
  <c r="N96" i="53"/>
  <c r="N77" i="53"/>
  <c r="AL77" i="53" s="1"/>
  <c r="AI127" i="53"/>
  <c r="S127" i="53"/>
  <c r="AI46" i="53"/>
  <c r="S46" i="53"/>
  <c r="AI18" i="53"/>
  <c r="S18" i="53"/>
  <c r="AI102" i="53"/>
  <c r="S102" i="53"/>
  <c r="AI123" i="53"/>
  <c r="S123" i="53"/>
  <c r="AI79" i="53"/>
  <c r="S79" i="53"/>
  <c r="AI63" i="53"/>
  <c r="S63" i="53"/>
  <c r="N92" i="53"/>
  <c r="N105" i="53"/>
  <c r="AJ93" i="53"/>
  <c r="T93" i="53"/>
  <c r="AI30" i="53"/>
  <c r="S30" i="53"/>
  <c r="AI50" i="53"/>
  <c r="S50" i="53"/>
  <c r="AI22" i="53"/>
  <c r="S22" i="53"/>
  <c r="AI98" i="53"/>
  <c r="S98" i="53"/>
  <c r="AI122" i="53"/>
  <c r="S122" i="53"/>
  <c r="AI74" i="53"/>
  <c r="S74" i="53"/>
  <c r="AI139" i="53"/>
  <c r="S139" i="53"/>
  <c r="AI111" i="53"/>
  <c r="S111" i="53"/>
  <c r="AI35" i="53"/>
  <c r="S35" i="53"/>
  <c r="AI47" i="53"/>
  <c r="S47" i="53"/>
  <c r="AI115" i="53"/>
  <c r="S115" i="53"/>
  <c r="AI67" i="53"/>
  <c r="S67" i="53"/>
  <c r="AI27" i="53"/>
  <c r="S27" i="53"/>
  <c r="AI91" i="53"/>
  <c r="S91" i="53"/>
  <c r="AJ80" i="53"/>
  <c r="AJ113" i="53"/>
  <c r="N29" i="53"/>
  <c r="N24" i="53"/>
  <c r="N20" i="53"/>
  <c r="AJ64" i="53"/>
  <c r="T64" i="53"/>
  <c r="L127" i="53"/>
  <c r="M127" i="53" s="1"/>
  <c r="K127" i="43" s="1"/>
  <c r="AR141" i="53"/>
  <c r="AR12" i="53" s="1"/>
  <c r="AS15" i="53"/>
  <c r="N32" i="53"/>
  <c r="AK32" i="53"/>
  <c r="AJ33" i="53"/>
  <c r="M33" i="53"/>
  <c r="J21" i="22"/>
  <c r="O17" i="35" s="1"/>
  <c r="T25" i="29"/>
  <c r="K11" i="22"/>
  <c r="AE51" i="36"/>
  <c r="J10" i="22"/>
  <c r="E186" i="13"/>
  <c r="J186" i="13" s="1"/>
  <c r="E189" i="13"/>
  <c r="J189" i="13" s="1"/>
  <c r="I180" i="13"/>
  <c r="AB180" i="13" s="1"/>
  <c r="AH118" i="13"/>
  <c r="P119" i="13"/>
  <c r="J143" i="13"/>
  <c r="AB143" i="13" s="1"/>
  <c r="T143" i="13" s="1"/>
  <c r="F262" i="13"/>
  <c r="E262" i="13"/>
  <c r="AJ159" i="13"/>
  <c r="K182" i="13"/>
  <c r="T182" i="13" s="1"/>
  <c r="O144" i="13"/>
  <c r="K176" i="13"/>
  <c r="T176" i="13" s="1"/>
  <c r="E182" i="13"/>
  <c r="J182" i="13" s="1"/>
  <c r="E193" i="13"/>
  <c r="J193" i="13" s="1"/>
  <c r="AJ152" i="13"/>
  <c r="N92" i="18"/>
  <c r="N260" i="18" s="1"/>
  <c r="K71" i="38"/>
  <c r="L71" i="38"/>
  <c r="N205" i="18"/>
  <c r="M128" i="31"/>
  <c r="M103" i="31"/>
  <c r="M204" i="31"/>
  <c r="M148" i="31"/>
  <c r="M112" i="31"/>
  <c r="M200" i="31"/>
  <c r="M183" i="31"/>
  <c r="M199" i="31"/>
  <c r="M172" i="31"/>
  <c r="M163" i="31"/>
  <c r="M115" i="31"/>
  <c r="M147" i="31"/>
  <c r="M108" i="31"/>
  <c r="M116" i="31"/>
  <c r="K153" i="31"/>
  <c r="L153" i="31" s="1"/>
  <c r="M184" i="31"/>
  <c r="M212" i="31"/>
  <c r="M113" i="31"/>
  <c r="M191" i="31"/>
  <c r="M109" i="31"/>
  <c r="M165" i="31"/>
  <c r="M64" i="53"/>
  <c r="K64" i="43" s="1"/>
  <c r="M93" i="53"/>
  <c r="K93" i="43" s="1"/>
  <c r="AK57" i="53"/>
  <c r="AL104" i="53"/>
  <c r="AL84" i="53"/>
  <c r="AL41" i="53"/>
  <c r="AL124" i="53"/>
  <c r="AL116" i="53"/>
  <c r="AK105" i="53"/>
  <c r="AK68" i="53"/>
  <c r="AK45" i="53"/>
  <c r="AK92" i="53"/>
  <c r="AK112" i="53"/>
  <c r="AL110" i="53"/>
  <c r="AL40" i="53"/>
  <c r="AL109" i="53"/>
  <c r="AK65" i="53"/>
  <c r="AK41" i="53"/>
  <c r="AK117" i="53"/>
  <c r="AK124" i="53"/>
  <c r="AK96" i="53"/>
  <c r="AK40" i="53"/>
  <c r="AK25" i="53"/>
  <c r="M137" i="53"/>
  <c r="K137" i="43" s="1"/>
  <c r="AJ137" i="53"/>
  <c r="AK17" i="53"/>
  <c r="AK106" i="53"/>
  <c r="AK129" i="53"/>
  <c r="AK76" i="53"/>
  <c r="AK110" i="53"/>
  <c r="AK21" i="53"/>
  <c r="AK56" i="53"/>
  <c r="AK44" i="53"/>
  <c r="M121" i="53"/>
  <c r="K121" i="43" s="1"/>
  <c r="AK77" i="53"/>
  <c r="AK116" i="53"/>
  <c r="AK73" i="53"/>
  <c r="AK84" i="53"/>
  <c r="AK72" i="53"/>
  <c r="AK61" i="53"/>
  <c r="AK128" i="53"/>
  <c r="AK60" i="53"/>
  <c r="AK109" i="53"/>
  <c r="AK29" i="53"/>
  <c r="AK24" i="53"/>
  <c r="AK20" i="53"/>
  <c r="I22" i="37"/>
  <c r="I21" i="37"/>
  <c r="I33" i="49"/>
  <c r="M107" i="35"/>
  <c r="O107" i="35"/>
  <c r="N107" i="35"/>
  <c r="L31" i="37"/>
  <c r="L30" i="37"/>
  <c r="J16" i="24"/>
  <c r="J17" i="24" s="1"/>
  <c r="I231" i="18" s="1"/>
  <c r="X15" i="36"/>
  <c r="AE27" i="36"/>
  <c r="AE44" i="36"/>
  <c r="J7" i="22"/>
  <c r="AE14" i="36"/>
  <c r="J21" i="37" s="1"/>
  <c r="AE61" i="36"/>
  <c r="T90" i="29"/>
  <c r="J20" i="22"/>
  <c r="K20" i="22" s="1"/>
  <c r="AE29" i="36"/>
  <c r="AE37" i="36"/>
  <c r="X68" i="36"/>
  <c r="X65" i="36"/>
  <c r="X41" i="36"/>
  <c r="K214" i="48"/>
  <c r="I82" i="38" s="1"/>
  <c r="J162" i="18"/>
  <c r="J172" i="18" s="1"/>
  <c r="AE52" i="36"/>
  <c r="AE66" i="36"/>
  <c r="AE65" i="36"/>
  <c r="AE48" i="36"/>
  <c r="AE19" i="36"/>
  <c r="AE62" i="36"/>
  <c r="W12" i="36"/>
  <c r="AE41" i="36"/>
  <c r="AE63" i="36"/>
  <c r="AE38" i="36"/>
  <c r="AE60" i="36"/>
  <c r="AE45" i="36"/>
  <c r="AE64" i="36"/>
  <c r="AE34" i="36"/>
  <c r="AE32" i="36"/>
  <c r="AE54" i="36"/>
  <c r="AE58" i="36"/>
  <c r="AE18" i="36"/>
  <c r="AE35" i="36"/>
  <c r="AE47" i="36"/>
  <c r="AE25" i="36"/>
  <c r="AE40" i="36"/>
  <c r="AE42" i="36"/>
  <c r="AE56" i="36"/>
  <c r="AE57" i="36"/>
  <c r="AE21" i="36"/>
  <c r="AE53" i="36"/>
  <c r="AE26" i="36"/>
  <c r="AE23" i="36"/>
  <c r="AE46" i="36"/>
  <c r="AE17" i="36"/>
  <c r="AE39" i="36"/>
  <c r="AE69" i="36"/>
  <c r="AE28" i="36"/>
  <c r="AE20" i="36"/>
  <c r="AE36" i="36"/>
  <c r="T126" i="29"/>
  <c r="AE43" i="36"/>
  <c r="AE68" i="36"/>
  <c r="AE49" i="36"/>
  <c r="AE22" i="36"/>
  <c r="AE24" i="36"/>
  <c r="AE67" i="36"/>
  <c r="AE15" i="36"/>
  <c r="AE16" i="36"/>
  <c r="AE70" i="36"/>
  <c r="AE59" i="36"/>
  <c r="AE31" i="36"/>
  <c r="AE50" i="36"/>
  <c r="AE30" i="36"/>
  <c r="T130" i="29"/>
  <c r="T125" i="29"/>
  <c r="T67" i="29"/>
  <c r="T87" i="29"/>
  <c r="T81" i="29"/>
  <c r="T121" i="29"/>
  <c r="T96" i="29"/>
  <c r="T71" i="29"/>
  <c r="T133" i="29"/>
  <c r="T138" i="29"/>
  <c r="T146" i="29"/>
  <c r="T86" i="29"/>
  <c r="T117" i="29"/>
  <c r="T108" i="29"/>
  <c r="T66" i="29"/>
  <c r="T145" i="29"/>
  <c r="T113" i="29"/>
  <c r="T74" i="29"/>
  <c r="T100" i="29"/>
  <c r="I22" i="22"/>
  <c r="T57" i="29"/>
  <c r="T58" i="29"/>
  <c r="T64" i="29"/>
  <c r="T63" i="29"/>
  <c r="T62" i="29"/>
  <c r="T61" i="29"/>
  <c r="T60" i="29"/>
  <c r="T59" i="29"/>
  <c r="T142" i="29"/>
  <c r="T150" i="29"/>
  <c r="T101" i="29"/>
  <c r="T78" i="29"/>
  <c r="T153" i="29"/>
  <c r="T69" i="29"/>
  <c r="T129" i="29"/>
  <c r="T134" i="29"/>
  <c r="T82" i="29"/>
  <c r="T91" i="29"/>
  <c r="T106" i="29"/>
  <c r="T116" i="29"/>
  <c r="T97" i="29"/>
  <c r="T154" i="29"/>
  <c r="T122" i="29"/>
  <c r="T88" i="29"/>
  <c r="T103" i="29"/>
  <c r="T77" i="29"/>
  <c r="T141" i="29"/>
  <c r="T109" i="29"/>
  <c r="T72" i="29"/>
  <c r="T105" i="29"/>
  <c r="T85" i="29"/>
  <c r="T65" i="29"/>
  <c r="T75" i="29"/>
  <c r="H142" i="18"/>
  <c r="X52" i="36"/>
  <c r="X33" i="36"/>
  <c r="X18" i="36"/>
  <c r="AB12" i="36"/>
  <c r="U12" i="36"/>
  <c r="X62" i="36"/>
  <c r="X36" i="36"/>
  <c r="X57" i="36"/>
  <c r="X25" i="36"/>
  <c r="X46" i="36"/>
  <c r="X26" i="36"/>
  <c r="X49" i="36"/>
  <c r="X17" i="36"/>
  <c r="X14" i="36"/>
  <c r="M30" i="37" s="1"/>
  <c r="X58" i="36"/>
  <c r="X42" i="36"/>
  <c r="X64" i="36"/>
  <c r="X48" i="36"/>
  <c r="X32" i="36"/>
  <c r="X24" i="36"/>
  <c r="AH8" i="36"/>
  <c r="AH14" i="36" s="1"/>
  <c r="M21" i="37" s="1"/>
  <c r="X63" i="36"/>
  <c r="X55" i="36"/>
  <c r="X47" i="36"/>
  <c r="X39" i="36"/>
  <c r="X31" i="36"/>
  <c r="X23" i="36"/>
  <c r="X16" i="36"/>
  <c r="X38" i="36"/>
  <c r="X21" i="36"/>
  <c r="X70" i="36"/>
  <c r="X54" i="36"/>
  <c r="X60" i="36"/>
  <c r="X44" i="36"/>
  <c r="X30" i="36"/>
  <c r="X22" i="36"/>
  <c r="X69" i="36"/>
  <c r="X61" i="36"/>
  <c r="X53" i="36"/>
  <c r="X45" i="36"/>
  <c r="X37" i="36"/>
  <c r="X29" i="36"/>
  <c r="X66" i="36"/>
  <c r="X50" i="36"/>
  <c r="X34" i="36"/>
  <c r="X56" i="36"/>
  <c r="X40" i="36"/>
  <c r="X28" i="36"/>
  <c r="X20" i="36"/>
  <c r="X67" i="36"/>
  <c r="X59" i="36"/>
  <c r="X51" i="36"/>
  <c r="X43" i="36"/>
  <c r="X35" i="36"/>
  <c r="X27" i="36"/>
  <c r="X19" i="36"/>
  <c r="AC95" i="29"/>
  <c r="T95" i="29"/>
  <c r="AC148" i="29"/>
  <c r="T148" i="29"/>
  <c r="AC115" i="29"/>
  <c r="T115" i="29"/>
  <c r="AC70" i="29"/>
  <c r="T70" i="29"/>
  <c r="AC80" i="29"/>
  <c r="T80" i="29"/>
  <c r="AC89" i="29"/>
  <c r="T89" i="29"/>
  <c r="AC73" i="29"/>
  <c r="T73" i="29"/>
  <c r="AC147" i="29"/>
  <c r="T147" i="29"/>
  <c r="AC120" i="29"/>
  <c r="T120" i="29"/>
  <c r="AC118" i="29"/>
  <c r="T118" i="29"/>
  <c r="AC99" i="29"/>
  <c r="T99" i="29"/>
  <c r="AC124" i="29"/>
  <c r="T124" i="29"/>
  <c r="AC149" i="29"/>
  <c r="T149" i="29"/>
  <c r="AC127" i="29"/>
  <c r="T127" i="29"/>
  <c r="AC110" i="29"/>
  <c r="T110" i="29"/>
  <c r="AC84" i="29"/>
  <c r="T84" i="29"/>
  <c r="AC104" i="29"/>
  <c r="T104" i="29"/>
  <c r="AC155" i="29"/>
  <c r="T155" i="29"/>
  <c r="AC156" i="29"/>
  <c r="T156" i="29"/>
  <c r="AC76" i="29"/>
  <c r="T76" i="29"/>
  <c r="AC79" i="29"/>
  <c r="T79" i="29"/>
  <c r="AC135" i="29"/>
  <c r="T135" i="29"/>
  <c r="AC107" i="29"/>
  <c r="T107" i="29"/>
  <c r="AC98" i="29"/>
  <c r="T98" i="29"/>
  <c r="AC152" i="29"/>
  <c r="T152" i="29"/>
  <c r="AC139" i="29"/>
  <c r="T139" i="29"/>
  <c r="AC151" i="29"/>
  <c r="T151" i="29"/>
  <c r="AC137" i="29"/>
  <c r="T137" i="29"/>
  <c r="AC140" i="29"/>
  <c r="T140" i="29"/>
  <c r="AC132" i="29"/>
  <c r="T132" i="29"/>
  <c r="AC94" i="29"/>
  <c r="T94" i="29"/>
  <c r="AC119" i="29"/>
  <c r="T119" i="29"/>
  <c r="AC131" i="29"/>
  <c r="T131" i="29"/>
  <c r="AC123" i="29"/>
  <c r="T123" i="29"/>
  <c r="AC92" i="29"/>
  <c r="T92" i="29"/>
  <c r="AC93" i="29"/>
  <c r="T93" i="29"/>
  <c r="AC83" i="29"/>
  <c r="T83" i="29"/>
  <c r="AC111" i="29"/>
  <c r="T111" i="29"/>
  <c r="AC136" i="29"/>
  <c r="T136" i="29"/>
  <c r="AC112" i="29"/>
  <c r="T112" i="29"/>
  <c r="AC114" i="29"/>
  <c r="T114" i="29"/>
  <c r="AC102" i="29"/>
  <c r="T102" i="29"/>
  <c r="AC144" i="29"/>
  <c r="T144" i="29"/>
  <c r="AC143" i="29"/>
  <c r="T143" i="29"/>
  <c r="AC128" i="29"/>
  <c r="T128" i="29"/>
  <c r="AC68" i="29"/>
  <c r="T68" i="29"/>
  <c r="AJ101" i="53"/>
  <c r="M101" i="53"/>
  <c r="K101" i="43" s="1"/>
  <c r="AJ42" i="53"/>
  <c r="M42" i="53"/>
  <c r="K42" i="43" s="1"/>
  <c r="AJ119" i="53"/>
  <c r="M119" i="53"/>
  <c r="K119" i="43" s="1"/>
  <c r="AJ108" i="53"/>
  <c r="M108" i="53"/>
  <c r="K108" i="43" s="1"/>
  <c r="AJ132" i="53"/>
  <c r="M132" i="53"/>
  <c r="K132" i="43" s="1"/>
  <c r="AJ100" i="53"/>
  <c r="M100" i="53"/>
  <c r="K100" i="43" s="1"/>
  <c r="AJ89" i="53"/>
  <c r="M89" i="53"/>
  <c r="K89" i="43" s="1"/>
  <c r="AJ103" i="53"/>
  <c r="M103" i="53"/>
  <c r="K103" i="43" s="1"/>
  <c r="AJ125" i="53"/>
  <c r="M125" i="53"/>
  <c r="K125" i="43" s="1"/>
  <c r="AJ28" i="53"/>
  <c r="M28" i="53"/>
  <c r="K28" i="43" s="1"/>
  <c r="AJ81" i="53"/>
  <c r="M81" i="53"/>
  <c r="K81" i="43" s="1"/>
  <c r="M36" i="53"/>
  <c r="K36" i="43" s="1"/>
  <c r="AJ36" i="53"/>
  <c r="AJ97" i="53"/>
  <c r="M97" i="53"/>
  <c r="K97" i="43" s="1"/>
  <c r="AJ120" i="53"/>
  <c r="M120" i="53"/>
  <c r="K120" i="43" s="1"/>
  <c r="AJ88" i="53"/>
  <c r="M88" i="53"/>
  <c r="K88" i="43" s="1"/>
  <c r="AJ52" i="53"/>
  <c r="M52" i="53"/>
  <c r="K52" i="43" s="1"/>
  <c r="AJ69" i="53"/>
  <c r="M69" i="53"/>
  <c r="K69" i="43" s="1"/>
  <c r="M37" i="53"/>
  <c r="K37" i="43" s="1"/>
  <c r="AJ37" i="53"/>
  <c r="M31" i="53"/>
  <c r="K31" i="43" s="1"/>
  <c r="AJ31" i="53"/>
  <c r="AJ107" i="53"/>
  <c r="M107" i="53"/>
  <c r="K107" i="43" s="1"/>
  <c r="AJ53" i="53"/>
  <c r="M53" i="53"/>
  <c r="K53" i="43" s="1"/>
  <c r="AJ95" i="53"/>
  <c r="M95" i="53"/>
  <c r="K95" i="43" s="1"/>
  <c r="AJ71" i="53"/>
  <c r="M71" i="53"/>
  <c r="K71" i="43" s="1"/>
  <c r="AJ16" i="53"/>
  <c r="M16" i="53"/>
  <c r="K16" i="43" s="1"/>
  <c r="AJ85" i="53"/>
  <c r="M85" i="53"/>
  <c r="K85" i="43" s="1"/>
  <c r="AJ136" i="53"/>
  <c r="M136" i="53"/>
  <c r="K136" i="43" s="1"/>
  <c r="AJ48" i="53"/>
  <c r="M48" i="53"/>
  <c r="K48" i="43" s="1"/>
  <c r="J39" i="39"/>
  <c r="K276" i="18"/>
  <c r="J81" i="38" s="1"/>
  <c r="J69" i="38"/>
  <c r="M206" i="18"/>
  <c r="I69" i="38"/>
  <c r="J70" i="38"/>
  <c r="F73" i="38"/>
  <c r="O148" i="35"/>
  <c r="L34" i="38" s="1"/>
  <c r="N73" i="35"/>
  <c r="L223" i="35"/>
  <c r="AE117" i="13"/>
  <c r="AF117" i="13" s="1"/>
  <c r="J191" i="18"/>
  <c r="J192" i="18"/>
  <c r="I246" i="18"/>
  <c r="H72" i="38" s="1"/>
  <c r="I193" i="18"/>
  <c r="I274" i="18"/>
  <c r="H79" i="38" s="1"/>
  <c r="J274" i="18"/>
  <c r="I79" i="38" s="1"/>
  <c r="H71" i="31"/>
  <c r="J22" i="37"/>
  <c r="Z50" i="29"/>
  <c r="AD12" i="36"/>
  <c r="H22" i="37"/>
  <c r="H25" i="37" s="1"/>
  <c r="K31" i="37"/>
  <c r="O108" i="35" s="1"/>
  <c r="L108" i="35"/>
  <c r="L112" i="35" s="1"/>
  <c r="I32" i="38" s="1"/>
  <c r="H34" i="37"/>
  <c r="L22" i="37"/>
  <c r="T10" i="29"/>
  <c r="E181" i="13"/>
  <c r="J181" i="13" s="1"/>
  <c r="AE151" i="13"/>
  <c r="AD113" i="13"/>
  <c r="AF113" i="13" s="1"/>
  <c r="E175" i="13"/>
  <c r="AE145" i="13"/>
  <c r="O131" i="13"/>
  <c r="AH127" i="13"/>
  <c r="P127" i="13"/>
  <c r="P128" i="13"/>
  <c r="AH128" i="13"/>
  <c r="AK152" i="13"/>
  <c r="AL152" i="13" s="1"/>
  <c r="G184" i="13"/>
  <c r="AK154" i="13"/>
  <c r="AL154" i="13" s="1"/>
  <c r="G186" i="13"/>
  <c r="P120" i="13"/>
  <c r="AH120" i="13"/>
  <c r="K194" i="13"/>
  <c r="T194" i="13" s="1"/>
  <c r="S162" i="13"/>
  <c r="R162" i="13"/>
  <c r="O162" i="13"/>
  <c r="U162" i="13"/>
  <c r="K217" i="13"/>
  <c r="T217" i="13" s="1"/>
  <c r="U185" i="13"/>
  <c r="O185" i="13"/>
  <c r="S185" i="13"/>
  <c r="R185" i="13"/>
  <c r="K191" i="13"/>
  <c r="T191" i="13" s="1"/>
  <c r="U159" i="13"/>
  <c r="O159" i="13"/>
  <c r="S159" i="13"/>
  <c r="R159" i="13"/>
  <c r="E194" i="13"/>
  <c r="J194" i="13" s="1"/>
  <c r="K184" i="13"/>
  <c r="T184" i="13" s="1"/>
  <c r="U152" i="13"/>
  <c r="S152" i="13"/>
  <c r="R152" i="13"/>
  <c r="O152" i="13"/>
  <c r="AH155" i="13"/>
  <c r="P155" i="13"/>
  <c r="AK159" i="13"/>
  <c r="AL159" i="13" s="1"/>
  <c r="G191" i="13"/>
  <c r="AH129" i="13"/>
  <c r="P129" i="13"/>
  <c r="K188" i="13"/>
  <c r="T188" i="13" s="1"/>
  <c r="R156" i="13"/>
  <c r="O156" i="13"/>
  <c r="U156" i="13"/>
  <c r="S156" i="13"/>
  <c r="P158" i="13"/>
  <c r="AH158" i="13"/>
  <c r="AK157" i="13"/>
  <c r="AL157" i="13" s="1"/>
  <c r="G189" i="13"/>
  <c r="U187" i="13"/>
  <c r="O187" i="13"/>
  <c r="S187" i="13"/>
  <c r="R187" i="13"/>
  <c r="K219" i="13"/>
  <c r="T219" i="13" s="1"/>
  <c r="AH153" i="13"/>
  <c r="P153" i="13"/>
  <c r="S161" i="13"/>
  <c r="R161" i="13"/>
  <c r="U161" i="13"/>
  <c r="O161" i="13"/>
  <c r="S190" i="13"/>
  <c r="R190" i="13"/>
  <c r="O190" i="13"/>
  <c r="U190" i="13"/>
  <c r="AK155" i="13"/>
  <c r="AL155" i="13" s="1"/>
  <c r="G187" i="13"/>
  <c r="K186" i="13"/>
  <c r="T186" i="13" s="1"/>
  <c r="S154" i="13"/>
  <c r="R154" i="13"/>
  <c r="O154" i="13"/>
  <c r="U154" i="13"/>
  <c r="P122" i="13"/>
  <c r="AH122" i="13"/>
  <c r="AK153" i="13"/>
  <c r="AL153" i="13" s="1"/>
  <c r="G185" i="13"/>
  <c r="P124" i="13"/>
  <c r="AH124" i="13"/>
  <c r="P130" i="13"/>
  <c r="AH130" i="13"/>
  <c r="K192" i="13"/>
  <c r="T192" i="13" s="1"/>
  <c r="U160" i="13"/>
  <c r="S160" i="13"/>
  <c r="R160" i="13"/>
  <c r="O160" i="13"/>
  <c r="AH125" i="13"/>
  <c r="P125" i="13"/>
  <c r="K189" i="13"/>
  <c r="T189" i="13" s="1"/>
  <c r="U157" i="13"/>
  <c r="O157" i="13"/>
  <c r="S157" i="13"/>
  <c r="R157" i="13"/>
  <c r="J200" i="18"/>
  <c r="I247" i="18" s="1"/>
  <c r="L207" i="18"/>
  <c r="K198" i="18"/>
  <c r="K199" i="18"/>
  <c r="J246" i="18" s="1"/>
  <c r="I72" i="38" s="1"/>
  <c r="J80" i="18"/>
  <c r="L205" i="18"/>
  <c r="H137" i="18"/>
  <c r="I124" i="18"/>
  <c r="M73" i="18"/>
  <c r="M259" i="18" s="1"/>
  <c r="J24" i="18"/>
  <c r="J110" i="18"/>
  <c r="H213" i="18"/>
  <c r="J36" i="18"/>
  <c r="L149" i="31"/>
  <c r="F103" i="49"/>
  <c r="M148" i="18"/>
  <c r="M276" i="18" s="1"/>
  <c r="M97" i="18"/>
  <c r="L64" i="18"/>
  <c r="M61" i="18"/>
  <c r="U15" i="13"/>
  <c r="U35" i="13" s="1"/>
  <c r="I77" i="31"/>
  <c r="L61" i="39"/>
  <c r="F34" i="49"/>
  <c r="K61" i="39"/>
  <c r="N129" i="35"/>
  <c r="J33" i="49" s="1"/>
  <c r="O127" i="35"/>
  <c r="N89" i="35"/>
  <c r="O83" i="35"/>
  <c r="I79" i="31"/>
  <c r="I78" i="31"/>
  <c r="J61" i="31"/>
  <c r="M22" i="24" s="1"/>
  <c r="J239" i="31"/>
  <c r="L236" i="31"/>
  <c r="K135" i="31"/>
  <c r="L161" i="31"/>
  <c r="L181" i="31"/>
  <c r="L224" i="31"/>
  <c r="L215" i="31"/>
  <c r="L177" i="31"/>
  <c r="L188" i="31"/>
  <c r="L164" i="31"/>
  <c r="L201" i="31"/>
  <c r="L220" i="31"/>
  <c r="L187" i="31"/>
  <c r="L173" i="31"/>
  <c r="L127" i="31"/>
  <c r="L193" i="31"/>
  <c r="L237" i="31"/>
  <c r="L175" i="31"/>
  <c r="L107" i="31"/>
  <c r="L209" i="31"/>
  <c r="L203" i="31"/>
  <c r="L160" i="31"/>
  <c r="L229" i="31"/>
  <c r="L231" i="31"/>
  <c r="L169" i="31"/>
  <c r="L225" i="31"/>
  <c r="L196" i="31"/>
  <c r="L235" i="31"/>
  <c r="L185" i="31"/>
  <c r="L213" i="31"/>
  <c r="L207" i="31"/>
  <c r="L168" i="31"/>
  <c r="L180" i="31"/>
  <c r="L167" i="31"/>
  <c r="AL111" i="13"/>
  <c r="AL131" i="13" s="1"/>
  <c r="AC126" i="29"/>
  <c r="L53" i="29"/>
  <c r="L158" i="29"/>
  <c r="L54" i="29" s="1"/>
  <c r="L52" i="29"/>
  <c r="S52" i="29"/>
  <c r="S11" i="29" s="1"/>
  <c r="L122" i="18" s="1"/>
  <c r="L220" i="18" s="1"/>
  <c r="P34" i="29"/>
  <c r="P36" i="29" s="1"/>
  <c r="P30" i="29"/>
  <c r="O32" i="29"/>
  <c r="O34" i="29" s="1"/>
  <c r="O36" i="29" s="1"/>
  <c r="O27" i="29"/>
  <c r="O17" i="29"/>
  <c r="O19" i="29" s="1"/>
  <c r="O12" i="29"/>
  <c r="P99" i="13"/>
  <c r="AF54" i="13"/>
  <c r="S54" i="13" s="1"/>
  <c r="U54" i="13" s="1"/>
  <c r="AD118" i="13"/>
  <c r="AF47" i="13"/>
  <c r="S47" i="13" s="1"/>
  <c r="U47" i="13" s="1"/>
  <c r="AF50" i="13"/>
  <c r="S50" i="13" s="1"/>
  <c r="U50" i="13" s="1"/>
  <c r="AE118" i="13"/>
  <c r="R118" i="13" s="1"/>
  <c r="AD119" i="13"/>
  <c r="AF87" i="13"/>
  <c r="S87" i="13" s="1"/>
  <c r="U87" i="13" s="1"/>
  <c r="AE119" i="13"/>
  <c r="R119" i="13" s="1"/>
  <c r="U48" i="13"/>
  <c r="Q18" i="29"/>
  <c r="J123" i="18"/>
  <c r="J221" i="18" s="1"/>
  <c r="I28" i="38" s="1"/>
  <c r="K177" i="13"/>
  <c r="T177" i="13" s="1"/>
  <c r="O145" i="13"/>
  <c r="K180" i="13"/>
  <c r="T180" i="13" s="1"/>
  <c r="R148" i="13"/>
  <c r="U148" i="13"/>
  <c r="O148" i="13"/>
  <c r="S148" i="13"/>
  <c r="R83" i="13"/>
  <c r="AK144" i="13"/>
  <c r="AL144" i="13" s="1"/>
  <c r="G176" i="13"/>
  <c r="AK148" i="13"/>
  <c r="AL148" i="13" s="1"/>
  <c r="G180" i="13"/>
  <c r="P144" i="13"/>
  <c r="AH144" i="13"/>
  <c r="K163" i="13"/>
  <c r="U51" i="13"/>
  <c r="K181" i="13"/>
  <c r="T181" i="13" s="1"/>
  <c r="O149" i="13"/>
  <c r="P151" i="13"/>
  <c r="AH151" i="13"/>
  <c r="R112" i="13"/>
  <c r="AK150" i="13"/>
  <c r="AL150" i="13" s="1"/>
  <c r="G182" i="13"/>
  <c r="P116" i="13"/>
  <c r="AH116" i="13"/>
  <c r="AK149" i="13"/>
  <c r="AL149" i="13" s="1"/>
  <c r="G181" i="13"/>
  <c r="U49" i="13"/>
  <c r="S81" i="13"/>
  <c r="R81" i="13"/>
  <c r="K178" i="13"/>
  <c r="T178" i="13" s="1"/>
  <c r="O146" i="13"/>
  <c r="O176" i="13"/>
  <c r="O183" i="13"/>
  <c r="AH117" i="13"/>
  <c r="P117" i="13"/>
  <c r="R85" i="13"/>
  <c r="S85" i="13"/>
  <c r="U53" i="13"/>
  <c r="AK151" i="13"/>
  <c r="AL151" i="13" s="1"/>
  <c r="G183" i="13"/>
  <c r="U55" i="13"/>
  <c r="P150" i="13"/>
  <c r="AH150" i="13"/>
  <c r="K179" i="13"/>
  <c r="T179" i="13" s="1"/>
  <c r="O147" i="13"/>
  <c r="AH115" i="13"/>
  <c r="P115" i="13"/>
  <c r="AH113" i="13"/>
  <c r="P113" i="13"/>
  <c r="P114" i="13"/>
  <c r="AH114" i="13"/>
  <c r="R82" i="13"/>
  <c r="U80" i="13"/>
  <c r="AA53" i="29"/>
  <c r="R29" i="29" s="1"/>
  <c r="AA158" i="29"/>
  <c r="AA54" i="29" s="1"/>
  <c r="R35" i="29"/>
  <c r="Q13" i="29"/>
  <c r="Q15" i="29" s="1"/>
  <c r="Q28" i="29"/>
  <c r="R8" i="29"/>
  <c r="AA50" i="29"/>
  <c r="H80" i="31"/>
  <c r="K110" i="18"/>
  <c r="K36" i="18"/>
  <c r="N102" i="35"/>
  <c r="AB10" i="53"/>
  <c r="K80" i="18"/>
  <c r="J91" i="49"/>
  <c r="L110" i="18"/>
  <c r="K56" i="18"/>
  <c r="H16" i="44"/>
  <c r="AI8" i="36"/>
  <c r="Y28" i="36"/>
  <c r="Y48" i="36"/>
  <c r="Y49" i="36"/>
  <c r="Y17" i="36"/>
  <c r="Y33" i="36"/>
  <c r="Y58" i="36"/>
  <c r="Y59" i="36"/>
  <c r="Y22" i="36"/>
  <c r="Y38" i="36"/>
  <c r="Y68" i="36"/>
  <c r="Y69" i="36"/>
  <c r="Y27" i="36"/>
  <c r="Y46" i="36"/>
  <c r="Y47" i="36"/>
  <c r="Y16" i="36"/>
  <c r="Y32" i="36"/>
  <c r="Y56" i="36"/>
  <c r="Y57" i="36"/>
  <c r="Y21" i="36"/>
  <c r="Y37" i="36"/>
  <c r="Y66" i="36"/>
  <c r="Y67" i="36"/>
  <c r="Y26" i="36"/>
  <c r="Y44" i="36"/>
  <c r="Y45" i="36"/>
  <c r="Y15" i="36"/>
  <c r="Y31" i="36"/>
  <c r="Y54" i="36"/>
  <c r="Y55" i="36"/>
  <c r="Y20" i="36"/>
  <c r="Y36" i="36"/>
  <c r="Y64" i="36"/>
  <c r="Y65" i="36"/>
  <c r="Y25" i="36"/>
  <c r="Y42" i="36"/>
  <c r="Y43" i="36"/>
  <c r="Y14" i="36"/>
  <c r="Y30" i="36"/>
  <c r="Y52" i="36"/>
  <c r="Y53" i="36"/>
  <c r="Y19" i="36"/>
  <c r="Y35" i="36"/>
  <c r="Y62" i="36"/>
  <c r="Y63" i="36"/>
  <c r="Y24" i="36"/>
  <c r="Y40" i="36"/>
  <c r="Y41" i="36"/>
  <c r="Y29" i="36"/>
  <c r="Y50" i="36"/>
  <c r="Y51" i="36"/>
  <c r="Y18" i="36"/>
  <c r="Y34" i="36"/>
  <c r="Y60" i="36"/>
  <c r="Y61" i="36"/>
  <c r="Y23" i="36"/>
  <c r="Y39" i="36"/>
  <c r="Y70" i="36"/>
  <c r="AF34" i="36"/>
  <c r="AF66" i="36"/>
  <c r="AF41" i="36"/>
  <c r="AF22" i="36"/>
  <c r="AF29" i="36"/>
  <c r="AF46" i="36"/>
  <c r="AF53" i="36"/>
  <c r="AF32" i="36"/>
  <c r="AF64" i="36"/>
  <c r="AF39" i="36"/>
  <c r="AF20" i="36"/>
  <c r="AF52" i="36"/>
  <c r="AF27" i="36"/>
  <c r="AF59" i="36"/>
  <c r="AF16" i="36"/>
  <c r="AF42" i="36"/>
  <c r="AF17" i="36"/>
  <c r="AF49" i="36"/>
  <c r="AF38" i="36"/>
  <c r="AF45" i="36"/>
  <c r="AF62" i="36"/>
  <c r="AF69" i="36"/>
  <c r="AF40" i="36"/>
  <c r="AF15" i="36"/>
  <c r="AF47" i="36"/>
  <c r="AF28" i="36"/>
  <c r="AF60" i="36"/>
  <c r="AF35" i="36"/>
  <c r="AF67" i="36"/>
  <c r="AF18" i="36"/>
  <c r="AF50" i="36"/>
  <c r="AF25" i="36"/>
  <c r="AF57" i="36"/>
  <c r="AF54" i="36"/>
  <c r="AF61" i="36"/>
  <c r="AF21" i="36"/>
  <c r="AF14" i="36"/>
  <c r="K21" i="37" s="1"/>
  <c r="AF48" i="36"/>
  <c r="AF23" i="36"/>
  <c r="AF55" i="36"/>
  <c r="AF36" i="36"/>
  <c r="AF68" i="36"/>
  <c r="AF43" i="36"/>
  <c r="AF26" i="36"/>
  <c r="AF58" i="36"/>
  <c r="AF33" i="36"/>
  <c r="AF65" i="36"/>
  <c r="AF70" i="36"/>
  <c r="AF30" i="36"/>
  <c r="AF37" i="36"/>
  <c r="AF24" i="36"/>
  <c r="AF56" i="36"/>
  <c r="AF31" i="36"/>
  <c r="AF63" i="36"/>
  <c r="AF44" i="36"/>
  <c r="AF19" i="36"/>
  <c r="AF51" i="36"/>
  <c r="AC12" i="36"/>
  <c r="G25" i="37"/>
  <c r="V12" i="36"/>
  <c r="K31" i="24"/>
  <c r="G34" i="37"/>
  <c r="K108" i="35"/>
  <c r="K112" i="35" s="1"/>
  <c r="H32" i="38" s="1"/>
  <c r="U141" i="43"/>
  <c r="U12" i="43" s="1"/>
  <c r="V15" i="43"/>
  <c r="R141" i="53"/>
  <c r="R12" i="53" s="1"/>
  <c r="L99" i="53"/>
  <c r="L47" i="53"/>
  <c r="L51" i="53"/>
  <c r="L111" i="53"/>
  <c r="L35" i="53"/>
  <c r="L55" i="53"/>
  <c r="L79" i="53"/>
  <c r="L19" i="53"/>
  <c r="L139" i="53"/>
  <c r="L43" i="53"/>
  <c r="L23" i="53"/>
  <c r="L123" i="53"/>
  <c r="L83" i="53"/>
  <c r="L115" i="53"/>
  <c r="L135" i="53"/>
  <c r="L39" i="53"/>
  <c r="L27" i="53"/>
  <c r="L131" i="53"/>
  <c r="L91" i="53"/>
  <c r="L87" i="53"/>
  <c r="L75" i="53"/>
  <c r="L67" i="53"/>
  <c r="L63" i="53"/>
  <c r="L59" i="53"/>
  <c r="L126" i="53"/>
  <c r="L22" i="53"/>
  <c r="L58" i="53"/>
  <c r="L86" i="53"/>
  <c r="L26" i="53"/>
  <c r="L98" i="53"/>
  <c r="L134" i="53"/>
  <c r="L50" i="53"/>
  <c r="L94" i="53"/>
  <c r="L46" i="53"/>
  <c r="L54" i="53"/>
  <c r="L70" i="53"/>
  <c r="L30" i="53"/>
  <c r="L78" i="53"/>
  <c r="L130" i="53"/>
  <c r="L118" i="53"/>
  <c r="L102" i="53"/>
  <c r="L66" i="53"/>
  <c r="K141" i="53"/>
  <c r="K12" i="53" s="1"/>
  <c r="L122" i="53"/>
  <c r="L38" i="53"/>
  <c r="L82" i="53"/>
  <c r="AH141" i="53"/>
  <c r="AH12" i="53" s="1"/>
  <c r="L18" i="53"/>
  <c r="L90" i="53"/>
  <c r="L114" i="53"/>
  <c r="L138" i="53"/>
  <c r="L74" i="53"/>
  <c r="L62" i="53"/>
  <c r="L34" i="53"/>
  <c r="H263" i="13"/>
  <c r="J68" i="31"/>
  <c r="I69" i="31"/>
  <c r="R14" i="29"/>
  <c r="K266" i="24"/>
  <c r="K21" i="24" s="1"/>
  <c r="K150" i="24"/>
  <c r="K15" i="24" s="1"/>
  <c r="I16" i="44" s="1"/>
  <c r="K117" i="31"/>
  <c r="K179" i="31"/>
  <c r="K176" i="31"/>
  <c r="K208" i="31"/>
  <c r="K192" i="31"/>
  <c r="K104" i="31"/>
  <c r="K129" i="31"/>
  <c r="J67" i="31"/>
  <c r="K111" i="31"/>
  <c r="K205" i="31"/>
  <c r="K195" i="31"/>
  <c r="K151" i="31"/>
  <c r="K152" i="31"/>
  <c r="K211" i="31"/>
  <c r="K232" i="31"/>
  <c r="K228" i="31"/>
  <c r="K233" i="31"/>
  <c r="K221" i="31"/>
  <c r="K223" i="31"/>
  <c r="K189" i="31"/>
  <c r="K227" i="31"/>
  <c r="K219" i="31"/>
  <c r="J66" i="31"/>
  <c r="R25" i="29"/>
  <c r="R27" i="29" s="1"/>
  <c r="AK143" i="13"/>
  <c r="G175" i="13"/>
  <c r="F16" i="37"/>
  <c r="G15" i="39" s="1"/>
  <c r="G17" i="39" s="1"/>
  <c r="G25" i="39" s="1"/>
  <c r="G32" i="39" s="1"/>
  <c r="G36" i="39" s="1"/>
  <c r="G56" i="39" s="1"/>
  <c r="AF93" i="13"/>
  <c r="AF116" i="13"/>
  <c r="AF97" i="13"/>
  <c r="AF112" i="13"/>
  <c r="S112" i="13" s="1"/>
  <c r="AF130" i="13"/>
  <c r="AF128" i="13"/>
  <c r="S158" i="29"/>
  <c r="S54" i="29" s="1"/>
  <c r="AF120" i="13"/>
  <c r="AF123" i="13"/>
  <c r="AF84" i="13"/>
  <c r="AF126" i="13"/>
  <c r="AF83" i="13"/>
  <c r="S83" i="13" s="1"/>
  <c r="AF124" i="13"/>
  <c r="AF90" i="13"/>
  <c r="AF86" i="13"/>
  <c r="S86" i="13" s="1"/>
  <c r="U86" i="13" s="1"/>
  <c r="AJ157" i="13"/>
  <c r="AJ182" i="13"/>
  <c r="AD158" i="13"/>
  <c r="AE158" i="13"/>
  <c r="AJ192" i="13"/>
  <c r="AJ176" i="13"/>
  <c r="AJ180" i="13"/>
  <c r="AJ194" i="13"/>
  <c r="AD122" i="13"/>
  <c r="AE122" i="13"/>
  <c r="AD160" i="13"/>
  <c r="AE160" i="13"/>
  <c r="AD152" i="13"/>
  <c r="AE152" i="13"/>
  <c r="AE125" i="13"/>
  <c r="AD125" i="13"/>
  <c r="AD162" i="13"/>
  <c r="AE162" i="13"/>
  <c r="AD144" i="13"/>
  <c r="AE144" i="13"/>
  <c r="AE155" i="13"/>
  <c r="AD155" i="13"/>
  <c r="AJ153" i="13"/>
  <c r="AJ187" i="13"/>
  <c r="AJ191" i="13"/>
  <c r="AJ161" i="13"/>
  <c r="AJ177" i="13"/>
  <c r="AJ146" i="13"/>
  <c r="AJ147" i="13"/>
  <c r="AE159" i="13"/>
  <c r="AD159" i="13"/>
  <c r="AJ190" i="13"/>
  <c r="AJ183" i="13"/>
  <c r="AJ184" i="13"/>
  <c r="AJ154" i="13"/>
  <c r="AJ181" i="13"/>
  <c r="AE129" i="13"/>
  <c r="AD129" i="13"/>
  <c r="AF82" i="13"/>
  <c r="S82" i="13" s="1"/>
  <c r="AF89" i="13"/>
  <c r="AF127" i="13"/>
  <c r="AE149" i="13"/>
  <c r="AD149" i="13"/>
  <c r="AJ188" i="13"/>
  <c r="AD156" i="13"/>
  <c r="AE156" i="13"/>
  <c r="AE121" i="13"/>
  <c r="AD121" i="13"/>
  <c r="AE115" i="13"/>
  <c r="AD115" i="13"/>
  <c r="AD148" i="13"/>
  <c r="AE148" i="13"/>
  <c r="S53" i="29"/>
  <c r="T99" i="13"/>
  <c r="AB99" i="13"/>
  <c r="F263" i="13" s="1"/>
  <c r="AD79" i="13"/>
  <c r="AE79" i="13"/>
  <c r="R79" i="13" s="1"/>
  <c r="AE111" i="13"/>
  <c r="R111" i="13" s="1"/>
  <c r="AD111" i="13"/>
  <c r="R67" i="13"/>
  <c r="P143" i="13"/>
  <c r="AH143" i="13"/>
  <c r="K207" i="13"/>
  <c r="O175" i="13"/>
  <c r="I175" i="13"/>
  <c r="AJ143" i="13"/>
  <c r="I226" i="13"/>
  <c r="AB226" i="13" s="1"/>
  <c r="I193" i="13"/>
  <c r="AB193" i="13" s="1"/>
  <c r="E211" i="13"/>
  <c r="J211" i="13" s="1"/>
  <c r="K215" i="13"/>
  <c r="T215" i="13" s="1"/>
  <c r="I178" i="13"/>
  <c r="AB178" i="13" s="1"/>
  <c r="G211" i="13"/>
  <c r="AK211" i="13" s="1"/>
  <c r="AL211" i="13" s="1"/>
  <c r="I213" i="13"/>
  <c r="AB213" i="13" s="1"/>
  <c r="I179" i="13"/>
  <c r="AB179" i="13" s="1"/>
  <c r="E178" i="13"/>
  <c r="J178" i="13" s="1"/>
  <c r="I223" i="13"/>
  <c r="AB223" i="13" s="1"/>
  <c r="E212" i="13"/>
  <c r="J212" i="13" s="1"/>
  <c r="G226" i="13"/>
  <c r="AK226" i="13" s="1"/>
  <c r="AL226" i="13" s="1"/>
  <c r="K222" i="13"/>
  <c r="T222" i="13" s="1"/>
  <c r="E218" i="13"/>
  <c r="J218" i="13" s="1"/>
  <c r="E208" i="13"/>
  <c r="J208" i="13" s="1"/>
  <c r="E214" i="13"/>
  <c r="J214" i="13" s="1"/>
  <c r="E221" i="13"/>
  <c r="J221" i="13" s="1"/>
  <c r="I208" i="13"/>
  <c r="AB208" i="13" s="1"/>
  <c r="AI15" i="43"/>
  <c r="AH141" i="43"/>
  <c r="AH12" i="43" s="1"/>
  <c r="E222" i="13"/>
  <c r="J222" i="13" s="1"/>
  <c r="I215" i="13"/>
  <c r="AB215" i="13" s="1"/>
  <c r="I214" i="13"/>
  <c r="AB214" i="13" s="1"/>
  <c r="I186" i="13"/>
  <c r="AB186" i="13" s="1"/>
  <c r="AA15" i="53"/>
  <c r="Z141" i="53"/>
  <c r="Z12" i="53" s="1"/>
  <c r="I216" i="13"/>
  <c r="AB216" i="13" s="1"/>
  <c r="H141" i="43"/>
  <c r="H12" i="43" s="1"/>
  <c r="I212" i="13"/>
  <c r="AB212" i="13" s="1"/>
  <c r="H41" i="39"/>
  <c r="AG12" i="36"/>
  <c r="I34" i="37"/>
  <c r="K44" i="38"/>
  <c r="L21" i="39"/>
  <c r="L43" i="39"/>
  <c r="K45" i="39"/>
  <c r="I44" i="40" s="1"/>
  <c r="L14" i="39"/>
  <c r="J37" i="40" s="1"/>
  <c r="L19" i="39"/>
  <c r="L20" i="39"/>
  <c r="L47" i="39"/>
  <c r="K54" i="39"/>
  <c r="L16" i="39"/>
  <c r="J38" i="40" s="1"/>
  <c r="H39" i="37"/>
  <c r="K181" i="35"/>
  <c r="H30" i="38" s="1"/>
  <c r="M19" i="48"/>
  <c r="M162" i="18" s="1"/>
  <c r="M172" i="18" s="1"/>
  <c r="L19" i="48"/>
  <c r="M205" i="35"/>
  <c r="M79" i="35"/>
  <c r="M206" i="35" s="1"/>
  <c r="M132" i="35"/>
  <c r="L92" i="35"/>
  <c r="I22" i="38" s="1"/>
  <c r="L210" i="35"/>
  <c r="K228" i="35"/>
  <c r="N132" i="35"/>
  <c r="K33" i="38" s="1"/>
  <c r="I219" i="13"/>
  <c r="AB219" i="13" s="1"/>
  <c r="I209" i="13"/>
  <c r="AB209" i="13" s="1"/>
  <c r="G209" i="13"/>
  <c r="AK209" i="13" s="1"/>
  <c r="AL209" i="13" s="1"/>
  <c r="G225" i="13"/>
  <c r="AK225" i="13" s="1"/>
  <c r="AL225" i="13" s="1"/>
  <c r="G220" i="13"/>
  <c r="AK220" i="13" s="1"/>
  <c r="AL220" i="13" s="1"/>
  <c r="I222" i="13"/>
  <c r="AB222" i="13" s="1"/>
  <c r="I224" i="13"/>
  <c r="AB224" i="13" s="1"/>
  <c r="E185" i="13"/>
  <c r="J185" i="13" s="1"/>
  <c r="G224" i="13"/>
  <c r="AK224" i="13" s="1"/>
  <c r="AL224" i="13" s="1"/>
  <c r="G210" i="13"/>
  <c r="AK210" i="13" s="1"/>
  <c r="AL210" i="13" s="1"/>
  <c r="K76" i="18"/>
  <c r="J100" i="18"/>
  <c r="L83" i="18"/>
  <c r="K88" i="18"/>
  <c r="I189" i="13"/>
  <c r="AB189" i="13" s="1"/>
  <c r="E191" i="13"/>
  <c r="J191" i="13" s="1"/>
  <c r="E184" i="13"/>
  <c r="J184" i="13" s="1"/>
  <c r="G190" i="13"/>
  <c r="AK190" i="13" s="1"/>
  <c r="AL190" i="13" s="1"/>
  <c r="E177" i="13"/>
  <c r="J177" i="13" s="1"/>
  <c r="I185" i="13"/>
  <c r="AB185" i="13" s="1"/>
  <c r="E187" i="13"/>
  <c r="J187" i="13" s="1"/>
  <c r="E188" i="13"/>
  <c r="J188" i="13" s="1"/>
  <c r="K193" i="13"/>
  <c r="T193" i="13" s="1"/>
  <c r="E183" i="13"/>
  <c r="J183" i="13" s="1"/>
  <c r="E192" i="13"/>
  <c r="J192" i="13" s="1"/>
  <c r="R20" i="29"/>
  <c r="J30" i="18"/>
  <c r="P17" i="29"/>
  <c r="P19" i="29" s="1"/>
  <c r="J41" i="37"/>
  <c r="AK80" i="53" l="1"/>
  <c r="I220" i="13"/>
  <c r="AB220" i="13" s="1"/>
  <c r="E213" i="13"/>
  <c r="J213" i="13" s="1"/>
  <c r="H113" i="49"/>
  <c r="I113" i="49"/>
  <c r="I85" i="38"/>
  <c r="J33" i="38"/>
  <c r="M223" i="35"/>
  <c r="K21" i="38"/>
  <c r="M31" i="37"/>
  <c r="N261" i="18"/>
  <c r="N97" i="18"/>
  <c r="U25" i="29"/>
  <c r="U27" i="29" s="1"/>
  <c r="U129" i="53"/>
  <c r="M15" i="18"/>
  <c r="O112" i="35"/>
  <c r="L32" i="38" s="1"/>
  <c r="L113" i="49" s="1"/>
  <c r="U45" i="53"/>
  <c r="U128" i="53"/>
  <c r="U61" i="53"/>
  <c r="U72" i="53"/>
  <c r="U84" i="53"/>
  <c r="U133" i="53"/>
  <c r="U57" i="53"/>
  <c r="U73" i="53"/>
  <c r="U60" i="53"/>
  <c r="U21" i="53"/>
  <c r="U15" i="53"/>
  <c r="U104" i="53"/>
  <c r="U20" i="53"/>
  <c r="U29" i="53"/>
  <c r="U92" i="53"/>
  <c r="U77" i="53"/>
  <c r="U56" i="53"/>
  <c r="U17" i="53"/>
  <c r="U49" i="53"/>
  <c r="U25" i="53"/>
  <c r="U40" i="53"/>
  <c r="U32" i="53"/>
  <c r="L44" i="38"/>
  <c r="L20" i="49" s="1"/>
  <c r="L96" i="38"/>
  <c r="I71" i="31"/>
  <c r="U124" i="53"/>
  <c r="U117" i="53"/>
  <c r="U41" i="53"/>
  <c r="U65" i="53"/>
  <c r="U112" i="53"/>
  <c r="U68" i="53"/>
  <c r="U116" i="53"/>
  <c r="U44" i="53"/>
  <c r="U110" i="53"/>
  <c r="U106" i="53"/>
  <c r="U33" i="29"/>
  <c r="K254" i="18"/>
  <c r="L253" i="18"/>
  <c r="J54" i="49"/>
  <c r="K65" i="39"/>
  <c r="J52" i="40" s="1"/>
  <c r="N259" i="18"/>
  <c r="U24" i="53"/>
  <c r="U105" i="53"/>
  <c r="U96" i="53"/>
  <c r="U76" i="53"/>
  <c r="U109" i="53"/>
  <c r="L252" i="18"/>
  <c r="M261" i="18"/>
  <c r="R127" i="43"/>
  <c r="AD127" i="43"/>
  <c r="T74" i="53"/>
  <c r="J74" i="43"/>
  <c r="T18" i="53"/>
  <c r="J18" i="43"/>
  <c r="T122" i="53"/>
  <c r="J122" i="43"/>
  <c r="T118" i="53"/>
  <c r="J118" i="43"/>
  <c r="T70" i="53"/>
  <c r="J70" i="43"/>
  <c r="T50" i="53"/>
  <c r="J50" i="43"/>
  <c r="T86" i="53"/>
  <c r="J86" i="43"/>
  <c r="T59" i="53"/>
  <c r="J59" i="43"/>
  <c r="T87" i="53"/>
  <c r="J87" i="43"/>
  <c r="T39" i="53"/>
  <c r="J39" i="43"/>
  <c r="T123" i="53"/>
  <c r="J123" i="43"/>
  <c r="T19" i="53"/>
  <c r="J19" i="43"/>
  <c r="T111" i="53"/>
  <c r="J111" i="43"/>
  <c r="R16" i="43"/>
  <c r="AD16" i="43"/>
  <c r="R107" i="43"/>
  <c r="AD107" i="43"/>
  <c r="R97" i="43"/>
  <c r="AD97" i="43"/>
  <c r="R125" i="43"/>
  <c r="AD125" i="43"/>
  <c r="R132" i="43"/>
  <c r="AD132" i="43"/>
  <c r="R101" i="43"/>
  <c r="AD101" i="43"/>
  <c r="R93" i="43"/>
  <c r="AD93" i="43"/>
  <c r="L128" i="43"/>
  <c r="L84" i="43"/>
  <c r="L133" i="43"/>
  <c r="L60" i="43"/>
  <c r="L129" i="43"/>
  <c r="AC71" i="43"/>
  <c r="Q71" i="43"/>
  <c r="T130" i="53"/>
  <c r="J130" i="43"/>
  <c r="T54" i="53"/>
  <c r="J54" i="43"/>
  <c r="T58" i="53"/>
  <c r="J58" i="43"/>
  <c r="T91" i="53"/>
  <c r="J91" i="43"/>
  <c r="T23" i="53"/>
  <c r="J23" i="43"/>
  <c r="T51" i="53"/>
  <c r="J51" i="43"/>
  <c r="R31" i="43"/>
  <c r="AD31" i="43"/>
  <c r="AL129" i="53"/>
  <c r="R64" i="43"/>
  <c r="AD64" i="43"/>
  <c r="L20" i="43"/>
  <c r="L92" i="43"/>
  <c r="L56" i="43"/>
  <c r="L49" i="43"/>
  <c r="L25" i="43"/>
  <c r="Q113" i="43"/>
  <c r="AC113" i="43"/>
  <c r="Q105" i="43"/>
  <c r="AC105" i="43"/>
  <c r="Q52" i="43"/>
  <c r="AC52" i="43"/>
  <c r="Q69" i="43"/>
  <c r="AC69" i="43"/>
  <c r="Q48" i="43"/>
  <c r="AC48" i="43"/>
  <c r="AC119" i="43"/>
  <c r="Q119" i="43"/>
  <c r="Q31" i="43"/>
  <c r="AC31" i="43"/>
  <c r="T34" i="53"/>
  <c r="J34" i="43"/>
  <c r="T114" i="53"/>
  <c r="J114" i="43"/>
  <c r="T82" i="53"/>
  <c r="J82" i="43"/>
  <c r="T66" i="53"/>
  <c r="J66" i="43"/>
  <c r="T78" i="53"/>
  <c r="J78" i="43"/>
  <c r="T46" i="53"/>
  <c r="J46" i="43"/>
  <c r="T98" i="53"/>
  <c r="J98" i="43"/>
  <c r="T22" i="53"/>
  <c r="J22" i="43"/>
  <c r="T67" i="53"/>
  <c r="J67" i="43"/>
  <c r="T131" i="53"/>
  <c r="J131" i="43"/>
  <c r="T115" i="53"/>
  <c r="J115" i="43"/>
  <c r="T43" i="53"/>
  <c r="J43" i="43"/>
  <c r="T55" i="53"/>
  <c r="J55" i="43"/>
  <c r="T47" i="53"/>
  <c r="J47" i="43"/>
  <c r="R48" i="43"/>
  <c r="AD48" i="43"/>
  <c r="R85" i="43"/>
  <c r="AD85" i="43"/>
  <c r="R71" i="43"/>
  <c r="AD71" i="43"/>
  <c r="R53" i="43"/>
  <c r="AD53" i="43"/>
  <c r="R52" i="43"/>
  <c r="AD52" i="43"/>
  <c r="R120" i="43"/>
  <c r="AD120" i="43"/>
  <c r="R28" i="43"/>
  <c r="AD28" i="43"/>
  <c r="R103" i="43"/>
  <c r="AD103" i="43"/>
  <c r="AD100" i="43"/>
  <c r="R100" i="43"/>
  <c r="R108" i="43"/>
  <c r="AD108" i="43"/>
  <c r="R42" i="43"/>
  <c r="AD42" i="43"/>
  <c r="R137" i="43"/>
  <c r="AD137" i="43"/>
  <c r="AL25" i="53"/>
  <c r="AL56" i="53"/>
  <c r="AL133" i="53"/>
  <c r="AL20" i="53"/>
  <c r="L32" i="43"/>
  <c r="R80" i="43"/>
  <c r="AD80" i="43"/>
  <c r="L124" i="43"/>
  <c r="L117" i="43"/>
  <c r="L41" i="43"/>
  <c r="L65" i="43"/>
  <c r="L112" i="43"/>
  <c r="L68" i="43"/>
  <c r="L116" i="43"/>
  <c r="L44" i="43"/>
  <c r="L110" i="43"/>
  <c r="L106" i="43"/>
  <c r="AC136" i="43"/>
  <c r="Q136" i="43"/>
  <c r="Q101" i="43"/>
  <c r="AC101" i="43"/>
  <c r="AC116" i="43"/>
  <c r="Q116" i="43"/>
  <c r="Q88" i="43"/>
  <c r="AC88" i="43"/>
  <c r="Q28" i="43"/>
  <c r="AC28" i="43"/>
  <c r="Q95" i="43"/>
  <c r="AC95" i="43"/>
  <c r="Q80" i="43"/>
  <c r="AC80" i="43"/>
  <c r="AC107" i="43"/>
  <c r="Q107" i="43"/>
  <c r="R136" i="43"/>
  <c r="AD136" i="43"/>
  <c r="R95" i="43"/>
  <c r="AD95" i="43"/>
  <c r="R69" i="43"/>
  <c r="AD69" i="43"/>
  <c r="R88" i="43"/>
  <c r="AD88" i="43"/>
  <c r="R81" i="43"/>
  <c r="AD81" i="43"/>
  <c r="R89" i="43"/>
  <c r="AD89" i="43"/>
  <c r="R119" i="43"/>
  <c r="AD119" i="43"/>
  <c r="L45" i="43"/>
  <c r="L61" i="43"/>
  <c r="L72" i="43"/>
  <c r="L57" i="43"/>
  <c r="L73" i="43"/>
  <c r="L21" i="43"/>
  <c r="Q120" i="43"/>
  <c r="AC120" i="43"/>
  <c r="Q42" i="43"/>
  <c r="AC42" i="43"/>
  <c r="Q137" i="43"/>
  <c r="AC137" i="43"/>
  <c r="Q81" i="43"/>
  <c r="AC81" i="43"/>
  <c r="Q37" i="43"/>
  <c r="AC37" i="43"/>
  <c r="Q132" i="43"/>
  <c r="AC132" i="43"/>
  <c r="Q103" i="43"/>
  <c r="AC103" i="43"/>
  <c r="T138" i="53"/>
  <c r="J138" i="43"/>
  <c r="T134" i="53"/>
  <c r="J134" i="43"/>
  <c r="T63" i="53"/>
  <c r="J63" i="43"/>
  <c r="T135" i="53"/>
  <c r="J135" i="43"/>
  <c r="T79" i="53"/>
  <c r="J79" i="43"/>
  <c r="AL61" i="53"/>
  <c r="T127" i="53"/>
  <c r="J127" i="43"/>
  <c r="L29" i="43"/>
  <c r="L77" i="43"/>
  <c r="L17" i="43"/>
  <c r="L40" i="43"/>
  <c r="Q16" i="43"/>
  <c r="AC16" i="43"/>
  <c r="Q85" i="43"/>
  <c r="AC85" i="43"/>
  <c r="T62" i="53"/>
  <c r="J62" i="43"/>
  <c r="T90" i="53"/>
  <c r="J90" i="43"/>
  <c r="T38" i="53"/>
  <c r="J38" i="43"/>
  <c r="T102" i="53"/>
  <c r="J102" i="43"/>
  <c r="T30" i="53"/>
  <c r="J30" i="43"/>
  <c r="T94" i="53"/>
  <c r="J94" i="43"/>
  <c r="T26" i="53"/>
  <c r="J26" i="43"/>
  <c r="T126" i="53"/>
  <c r="J126" i="43"/>
  <c r="T75" i="53"/>
  <c r="J75" i="43"/>
  <c r="T27" i="53"/>
  <c r="J27" i="43"/>
  <c r="T83" i="53"/>
  <c r="J83" i="43"/>
  <c r="T139" i="53"/>
  <c r="J139" i="43"/>
  <c r="T35" i="53"/>
  <c r="J35" i="43"/>
  <c r="T99" i="53"/>
  <c r="J99" i="43"/>
  <c r="AJ127" i="53"/>
  <c r="R37" i="43"/>
  <c r="AD37" i="43"/>
  <c r="R36" i="43"/>
  <c r="AD36" i="43"/>
  <c r="R121" i="43"/>
  <c r="AD121" i="43"/>
  <c r="AL21" i="53"/>
  <c r="AL17" i="53"/>
  <c r="AL49" i="53"/>
  <c r="AL29" i="53"/>
  <c r="AL60" i="53"/>
  <c r="U33" i="53"/>
  <c r="K33" i="43"/>
  <c r="L24" i="43"/>
  <c r="L105" i="43"/>
  <c r="L96" i="43"/>
  <c r="L76" i="43"/>
  <c r="R113" i="43"/>
  <c r="AD113" i="43"/>
  <c r="L109" i="43"/>
  <c r="AC112" i="43"/>
  <c r="Q112" i="43"/>
  <c r="R32" i="43"/>
  <c r="AD32" i="43"/>
  <c r="Q53" i="43"/>
  <c r="AC53" i="43"/>
  <c r="Q97" i="43"/>
  <c r="AC97" i="43"/>
  <c r="Q73" i="43"/>
  <c r="AC73" i="43"/>
  <c r="Q100" i="43"/>
  <c r="AC100" i="43"/>
  <c r="Q36" i="43"/>
  <c r="AC36" i="43"/>
  <c r="Q89" i="43"/>
  <c r="AC89" i="43"/>
  <c r="Q108" i="43"/>
  <c r="AC108" i="43"/>
  <c r="Q125" i="43"/>
  <c r="AC125" i="43"/>
  <c r="AC84" i="43"/>
  <c r="Q84" i="43"/>
  <c r="Q33" i="43"/>
  <c r="AC33" i="43"/>
  <c r="R116" i="43"/>
  <c r="AD116" i="43"/>
  <c r="N85" i="53"/>
  <c r="U85" i="53"/>
  <c r="N53" i="53"/>
  <c r="U53" i="53"/>
  <c r="N127" i="53"/>
  <c r="U127" i="53"/>
  <c r="N52" i="53"/>
  <c r="AL52" i="53" s="1"/>
  <c r="U52" i="53"/>
  <c r="N103" i="53"/>
  <c r="U103" i="53"/>
  <c r="N42" i="53"/>
  <c r="U42" i="53"/>
  <c r="N113" i="53"/>
  <c r="L113" i="43" s="1"/>
  <c r="U113" i="53"/>
  <c r="N36" i="53"/>
  <c r="U36" i="53"/>
  <c r="N93" i="53"/>
  <c r="U93" i="53"/>
  <c r="N136" i="53"/>
  <c r="AL136" i="53" s="1"/>
  <c r="U136" i="53"/>
  <c r="N16" i="53"/>
  <c r="U16" i="53"/>
  <c r="N95" i="53"/>
  <c r="U95" i="53"/>
  <c r="N107" i="53"/>
  <c r="U107" i="53"/>
  <c r="N69" i="53"/>
  <c r="AL69" i="53" s="1"/>
  <c r="U69" i="53"/>
  <c r="N88" i="53"/>
  <c r="U88" i="53"/>
  <c r="N97" i="53"/>
  <c r="U97" i="53"/>
  <c r="N81" i="53"/>
  <c r="U81" i="53"/>
  <c r="N125" i="53"/>
  <c r="U125" i="53"/>
  <c r="N89" i="53"/>
  <c r="U89" i="53"/>
  <c r="N132" i="53"/>
  <c r="U132" i="53"/>
  <c r="N119" i="53"/>
  <c r="U119" i="53"/>
  <c r="N101" i="53"/>
  <c r="AL101" i="53" s="1"/>
  <c r="U101" i="53"/>
  <c r="AK113" i="53"/>
  <c r="N121" i="53"/>
  <c r="U121" i="53"/>
  <c r="AL24" i="53"/>
  <c r="AL73" i="53"/>
  <c r="AL96" i="53"/>
  <c r="N64" i="53"/>
  <c r="U64" i="53"/>
  <c r="N48" i="53"/>
  <c r="U48" i="53"/>
  <c r="N71" i="53"/>
  <c r="U71" i="53"/>
  <c r="N120" i="53"/>
  <c r="U120" i="53"/>
  <c r="N28" i="53"/>
  <c r="U28" i="53"/>
  <c r="N100" i="53"/>
  <c r="U100" i="53"/>
  <c r="N108" i="53"/>
  <c r="AL108" i="53" s="1"/>
  <c r="U108" i="53"/>
  <c r="N37" i="53"/>
  <c r="U37" i="53"/>
  <c r="N137" i="53"/>
  <c r="U137" i="53"/>
  <c r="N31" i="53"/>
  <c r="U31" i="53"/>
  <c r="AL76" i="53"/>
  <c r="AL128" i="53"/>
  <c r="AL72" i="53"/>
  <c r="N80" i="53"/>
  <c r="L80" i="43" s="1"/>
  <c r="U80" i="53"/>
  <c r="H144" i="18"/>
  <c r="H218" i="18"/>
  <c r="AL32" i="53"/>
  <c r="AK64" i="53"/>
  <c r="N33" i="53"/>
  <c r="AK33" i="53"/>
  <c r="AS141" i="53"/>
  <c r="AS12" i="53" s="1"/>
  <c r="AT15" i="53"/>
  <c r="T28" i="29"/>
  <c r="T32" i="29" s="1"/>
  <c r="K21" i="22"/>
  <c r="T20" i="29"/>
  <c r="K7" i="22"/>
  <c r="T13" i="29"/>
  <c r="T17" i="29" s="1"/>
  <c r="U10" i="29"/>
  <c r="K10" i="22"/>
  <c r="U13" i="29" s="1"/>
  <c r="K208" i="13"/>
  <c r="T208" i="13" s="1"/>
  <c r="AJ220" i="13"/>
  <c r="J175" i="13"/>
  <c r="AB175" i="13" s="1"/>
  <c r="E225" i="13"/>
  <c r="J225" i="13" s="1"/>
  <c r="O182" i="13"/>
  <c r="AH182" i="13" s="1"/>
  <c r="K214" i="13"/>
  <c r="T214" i="13" s="1"/>
  <c r="AH19" i="36"/>
  <c r="I25" i="37"/>
  <c r="N206" i="18"/>
  <c r="N207" i="18" s="1"/>
  <c r="M64" i="18"/>
  <c r="M252" i="18" s="1"/>
  <c r="N61" i="18"/>
  <c r="N64" i="18" s="1"/>
  <c r="M222" i="18"/>
  <c r="N148" i="18"/>
  <c r="M225" i="31"/>
  <c r="M164" i="31"/>
  <c r="M149" i="31"/>
  <c r="M180" i="31"/>
  <c r="M185" i="31"/>
  <c r="M169" i="31"/>
  <c r="M203" i="31"/>
  <c r="M237" i="31"/>
  <c r="M187" i="31"/>
  <c r="M188" i="31"/>
  <c r="M181" i="31"/>
  <c r="M236" i="31"/>
  <c r="M167" i="31"/>
  <c r="M213" i="31"/>
  <c r="M175" i="31"/>
  <c r="M168" i="31"/>
  <c r="M235" i="31"/>
  <c r="M231" i="31"/>
  <c r="M209" i="31"/>
  <c r="M193" i="31"/>
  <c r="M220" i="31"/>
  <c r="M177" i="31"/>
  <c r="M153" i="31"/>
  <c r="M160" i="31"/>
  <c r="M173" i="31"/>
  <c r="M224" i="31"/>
  <c r="M207" i="31"/>
  <c r="M196" i="31"/>
  <c r="M229" i="31"/>
  <c r="M107" i="31"/>
  <c r="M127" i="31"/>
  <c r="M201" i="31"/>
  <c r="M215" i="31"/>
  <c r="M161" i="31"/>
  <c r="L33" i="49"/>
  <c r="J22" i="22"/>
  <c r="U58" i="29"/>
  <c r="U62" i="29"/>
  <c r="U66" i="29"/>
  <c r="U70" i="29"/>
  <c r="U74" i="29"/>
  <c r="U78" i="29"/>
  <c r="U82" i="29"/>
  <c r="U86" i="29"/>
  <c r="U90" i="29"/>
  <c r="U94" i="29"/>
  <c r="U98" i="29"/>
  <c r="U102" i="29"/>
  <c r="U106" i="29"/>
  <c r="U110" i="29"/>
  <c r="U114" i="29"/>
  <c r="U118" i="29"/>
  <c r="U122" i="29"/>
  <c r="U126" i="29"/>
  <c r="U130" i="29"/>
  <c r="U134" i="29"/>
  <c r="U138" i="29"/>
  <c r="U142" i="29"/>
  <c r="U146" i="29"/>
  <c r="U150" i="29"/>
  <c r="U154" i="29"/>
  <c r="U61" i="29"/>
  <c r="U85" i="29"/>
  <c r="U97" i="29"/>
  <c r="U109" i="29"/>
  <c r="U117" i="29"/>
  <c r="U129" i="29"/>
  <c r="U141" i="29"/>
  <c r="U153" i="29"/>
  <c r="U59" i="29"/>
  <c r="U63" i="29"/>
  <c r="U67" i="29"/>
  <c r="U71" i="29"/>
  <c r="U75" i="29"/>
  <c r="U79" i="29"/>
  <c r="U83" i="29"/>
  <c r="U87" i="29"/>
  <c r="U91" i="29"/>
  <c r="U95" i="29"/>
  <c r="U99" i="29"/>
  <c r="U103" i="29"/>
  <c r="U107" i="29"/>
  <c r="U111" i="29"/>
  <c r="U115" i="29"/>
  <c r="U119" i="29"/>
  <c r="U123" i="29"/>
  <c r="U127" i="29"/>
  <c r="U131" i="29"/>
  <c r="U135" i="29"/>
  <c r="U139" i="29"/>
  <c r="U143" i="29"/>
  <c r="U147" i="29"/>
  <c r="U151" i="29"/>
  <c r="U155" i="29"/>
  <c r="U57" i="29"/>
  <c r="U69" i="29"/>
  <c r="U73" i="29"/>
  <c r="U81" i="29"/>
  <c r="U93" i="29"/>
  <c r="U105" i="29"/>
  <c r="U121" i="29"/>
  <c r="U133" i="29"/>
  <c r="U145" i="29"/>
  <c r="U60" i="29"/>
  <c r="U64" i="29"/>
  <c r="U68" i="29"/>
  <c r="U72" i="29"/>
  <c r="U76" i="29"/>
  <c r="U80" i="29"/>
  <c r="U84" i="29"/>
  <c r="U88" i="29"/>
  <c r="U92" i="29"/>
  <c r="U96" i="29"/>
  <c r="U100" i="29"/>
  <c r="U104" i="29"/>
  <c r="U108" i="29"/>
  <c r="U112" i="29"/>
  <c r="U116" i="29"/>
  <c r="U120" i="29"/>
  <c r="U124" i="29"/>
  <c r="U128" i="29"/>
  <c r="U132" i="29"/>
  <c r="U136" i="29"/>
  <c r="U140" i="29"/>
  <c r="U144" i="29"/>
  <c r="U148" i="29"/>
  <c r="U152" i="29"/>
  <c r="U156" i="29"/>
  <c r="U65" i="29"/>
  <c r="U77" i="29"/>
  <c r="U89" i="29"/>
  <c r="U101" i="29"/>
  <c r="U113" i="29"/>
  <c r="U125" i="29"/>
  <c r="U137" i="29"/>
  <c r="U149" i="29"/>
  <c r="K17" i="24"/>
  <c r="J231" i="18" s="1"/>
  <c r="AL93" i="53"/>
  <c r="AK93" i="53"/>
  <c r="AL85" i="53"/>
  <c r="AL127" i="53"/>
  <c r="AL120" i="53"/>
  <c r="AL100" i="53"/>
  <c r="AK137" i="53"/>
  <c r="AL68" i="53"/>
  <c r="AL37" i="53"/>
  <c r="AL103" i="53"/>
  <c r="AL92" i="53"/>
  <c r="AL16" i="53"/>
  <c r="AL107" i="53"/>
  <c r="AL88" i="53"/>
  <c r="AL81" i="53"/>
  <c r="AL89" i="53"/>
  <c r="AL119" i="53"/>
  <c r="AL121" i="53"/>
  <c r="AL112" i="53"/>
  <c r="AL45" i="53"/>
  <c r="AL105" i="53"/>
  <c r="AL57" i="53"/>
  <c r="AL48" i="53"/>
  <c r="AL28" i="53"/>
  <c r="AL31" i="53"/>
  <c r="M139" i="53"/>
  <c r="K139" i="43" s="1"/>
  <c r="AJ139" i="53"/>
  <c r="AK31" i="53"/>
  <c r="AK48" i="53"/>
  <c r="AK71" i="53"/>
  <c r="AK127" i="53"/>
  <c r="AK52" i="53"/>
  <c r="AK103" i="53"/>
  <c r="AK42" i="53"/>
  <c r="M138" i="53"/>
  <c r="K138" i="43" s="1"/>
  <c r="AJ138" i="53"/>
  <c r="AK37" i="53"/>
  <c r="AK36" i="53"/>
  <c r="AK121" i="53"/>
  <c r="AK85" i="53"/>
  <c r="AK53" i="53"/>
  <c r="AK120" i="53"/>
  <c r="AK28" i="53"/>
  <c r="AK100" i="53"/>
  <c r="AK108" i="53"/>
  <c r="AK136" i="53"/>
  <c r="AK16" i="53"/>
  <c r="AK95" i="53"/>
  <c r="AK107" i="53"/>
  <c r="AK69" i="53"/>
  <c r="AK88" i="53"/>
  <c r="AK97" i="53"/>
  <c r="AK81" i="53"/>
  <c r="AK125" i="53"/>
  <c r="AK89" i="53"/>
  <c r="AK132" i="53"/>
  <c r="AK119" i="53"/>
  <c r="AK101" i="53"/>
  <c r="K96" i="38"/>
  <c r="K20" i="49"/>
  <c r="AC52" i="29"/>
  <c r="T26" i="29" s="1"/>
  <c r="T27" i="29" s="1"/>
  <c r="H264" i="13"/>
  <c r="K268" i="18"/>
  <c r="H84" i="38"/>
  <c r="J18" i="24"/>
  <c r="K229" i="18"/>
  <c r="L214" i="48"/>
  <c r="J82" i="38" s="1"/>
  <c r="L162" i="18"/>
  <c r="L172" i="18" s="1"/>
  <c r="K162" i="18"/>
  <c r="K172" i="18" s="1"/>
  <c r="AH48" i="36"/>
  <c r="AH38" i="36"/>
  <c r="AH51" i="36"/>
  <c r="AH32" i="36"/>
  <c r="AH22" i="36"/>
  <c r="AH43" i="36"/>
  <c r="AH70" i="36"/>
  <c r="AH67" i="36"/>
  <c r="AH35" i="36"/>
  <c r="AH64" i="36"/>
  <c r="AH54" i="36"/>
  <c r="AH59" i="36"/>
  <c r="AH27" i="36"/>
  <c r="AH60" i="36"/>
  <c r="AH44" i="36"/>
  <c r="AH28" i="36"/>
  <c r="AH66" i="36"/>
  <c r="AH50" i="36"/>
  <c r="AH34" i="36"/>
  <c r="AH18" i="36"/>
  <c r="AH65" i="36"/>
  <c r="AH57" i="36"/>
  <c r="AH49" i="36"/>
  <c r="AH41" i="36"/>
  <c r="AH33" i="36"/>
  <c r="AH25" i="36"/>
  <c r="AH17" i="36"/>
  <c r="K34" i="37"/>
  <c r="AH56" i="36"/>
  <c r="AH40" i="36"/>
  <c r="AH24" i="36"/>
  <c r="AH62" i="36"/>
  <c r="AH46" i="36"/>
  <c r="AH30" i="36"/>
  <c r="AH15" i="36"/>
  <c r="AH63" i="36"/>
  <c r="AH55" i="36"/>
  <c r="AH47" i="36"/>
  <c r="AH39" i="36"/>
  <c r="AH31" i="36"/>
  <c r="AH23" i="36"/>
  <c r="AH16" i="36"/>
  <c r="AH68" i="36"/>
  <c r="AH52" i="36"/>
  <c r="AH36" i="36"/>
  <c r="AH20" i="36"/>
  <c r="AH58" i="36"/>
  <c r="AH42" i="36"/>
  <c r="AH26" i="36"/>
  <c r="AH69" i="36"/>
  <c r="AH61" i="36"/>
  <c r="AH53" i="36"/>
  <c r="AH45" i="36"/>
  <c r="AH37" i="36"/>
  <c r="AH29" i="36"/>
  <c r="AH21" i="36"/>
  <c r="AD145" i="13"/>
  <c r="AF145" i="13" s="1"/>
  <c r="AC53" i="29"/>
  <c r="T29" i="29" s="1"/>
  <c r="O140" i="35" s="1"/>
  <c r="AE12" i="36"/>
  <c r="I142" i="18"/>
  <c r="I218" i="18" s="1"/>
  <c r="H25" i="38" s="1"/>
  <c r="X12" i="36"/>
  <c r="T158" i="29"/>
  <c r="T54" i="29" s="1"/>
  <c r="AC158" i="29"/>
  <c r="AC54" i="29" s="1"/>
  <c r="AJ70" i="53"/>
  <c r="M70" i="53"/>
  <c r="K70" i="43" s="1"/>
  <c r="AJ58" i="53"/>
  <c r="M58" i="53"/>
  <c r="K58" i="43" s="1"/>
  <c r="AJ87" i="53"/>
  <c r="M87" i="53"/>
  <c r="K87" i="43" s="1"/>
  <c r="AJ115" i="53"/>
  <c r="M115" i="53"/>
  <c r="K115" i="43" s="1"/>
  <c r="AJ79" i="53"/>
  <c r="M79" i="53"/>
  <c r="K79" i="43" s="1"/>
  <c r="AJ51" i="53"/>
  <c r="M51" i="53"/>
  <c r="K51" i="43" s="1"/>
  <c r="AJ18" i="53"/>
  <c r="M18" i="53"/>
  <c r="K18" i="43" s="1"/>
  <c r="AJ102" i="53"/>
  <c r="M102" i="53"/>
  <c r="K102" i="43" s="1"/>
  <c r="AJ130" i="53"/>
  <c r="M130" i="53"/>
  <c r="K130" i="43" s="1"/>
  <c r="AJ54" i="53"/>
  <c r="M54" i="53"/>
  <c r="K54" i="43" s="1"/>
  <c r="AJ134" i="53"/>
  <c r="M134" i="53"/>
  <c r="K134" i="43" s="1"/>
  <c r="AJ22" i="53"/>
  <c r="M22" i="53"/>
  <c r="K22" i="43" s="1"/>
  <c r="AJ59" i="53"/>
  <c r="M59" i="53"/>
  <c r="K59" i="43" s="1"/>
  <c r="AJ75" i="53"/>
  <c r="M75" i="53"/>
  <c r="K75" i="43" s="1"/>
  <c r="AJ83" i="53"/>
  <c r="M83" i="53"/>
  <c r="K83" i="43" s="1"/>
  <c r="AJ43" i="53"/>
  <c r="M43" i="53"/>
  <c r="K43" i="43" s="1"/>
  <c r="M35" i="53"/>
  <c r="K35" i="43" s="1"/>
  <c r="AJ35" i="53"/>
  <c r="AJ62" i="53"/>
  <c r="M62" i="53"/>
  <c r="K62" i="43" s="1"/>
  <c r="AJ38" i="53"/>
  <c r="M38" i="53"/>
  <c r="K38" i="43" s="1"/>
  <c r="AJ98" i="53"/>
  <c r="M98" i="53"/>
  <c r="K98" i="43" s="1"/>
  <c r="AJ126" i="53"/>
  <c r="M126" i="53"/>
  <c r="K126" i="43" s="1"/>
  <c r="M34" i="53"/>
  <c r="K34" i="43" s="1"/>
  <c r="AJ34" i="53"/>
  <c r="AJ74" i="53"/>
  <c r="M74" i="53"/>
  <c r="K74" i="43" s="1"/>
  <c r="AJ114" i="53"/>
  <c r="M114" i="53"/>
  <c r="K114" i="43" s="1"/>
  <c r="AJ30" i="53"/>
  <c r="M30" i="53"/>
  <c r="K30" i="43" s="1"/>
  <c r="AJ26" i="53"/>
  <c r="M26" i="53"/>
  <c r="K26" i="43" s="1"/>
  <c r="AJ91" i="53"/>
  <c r="M91" i="53"/>
  <c r="K91" i="43" s="1"/>
  <c r="AJ27" i="53"/>
  <c r="M27" i="53"/>
  <c r="K27" i="43" s="1"/>
  <c r="AJ135" i="53"/>
  <c r="M135" i="53"/>
  <c r="K135" i="43" s="1"/>
  <c r="AJ23" i="53"/>
  <c r="M23" i="53"/>
  <c r="K23" i="43" s="1"/>
  <c r="AJ99" i="53"/>
  <c r="M99" i="53"/>
  <c r="K99" i="43" s="1"/>
  <c r="AJ90" i="53"/>
  <c r="M90" i="53"/>
  <c r="K90" i="43" s="1"/>
  <c r="AJ122" i="53"/>
  <c r="M122" i="53"/>
  <c r="K122" i="43" s="1"/>
  <c r="AJ78" i="53"/>
  <c r="M78" i="53"/>
  <c r="K78" i="43" s="1"/>
  <c r="AJ50" i="53"/>
  <c r="M50" i="53"/>
  <c r="K50" i="43" s="1"/>
  <c r="AJ86" i="53"/>
  <c r="M86" i="53"/>
  <c r="K86" i="43" s="1"/>
  <c r="AJ63" i="53"/>
  <c r="M63" i="53"/>
  <c r="K63" i="43" s="1"/>
  <c r="AJ82" i="53"/>
  <c r="M82" i="53"/>
  <c r="K82" i="43" s="1"/>
  <c r="AJ66" i="53"/>
  <c r="M66" i="53"/>
  <c r="K66" i="43" s="1"/>
  <c r="AJ118" i="53"/>
  <c r="M118" i="53"/>
  <c r="K118" i="43" s="1"/>
  <c r="AJ46" i="53"/>
  <c r="M46" i="53"/>
  <c r="K46" i="43" s="1"/>
  <c r="AJ94" i="53"/>
  <c r="M94" i="53"/>
  <c r="K94" i="43" s="1"/>
  <c r="AJ15" i="53"/>
  <c r="AJ67" i="53"/>
  <c r="M67" i="53"/>
  <c r="K67" i="43" s="1"/>
  <c r="AJ131" i="53"/>
  <c r="M131" i="53"/>
  <c r="K131" i="43" s="1"/>
  <c r="AJ39" i="53"/>
  <c r="M39" i="53"/>
  <c r="K39" i="43" s="1"/>
  <c r="AJ123" i="53"/>
  <c r="M123" i="53"/>
  <c r="K123" i="43" s="1"/>
  <c r="AJ19" i="53"/>
  <c r="M19" i="53"/>
  <c r="K19" i="43" s="1"/>
  <c r="AJ55" i="53"/>
  <c r="M55" i="53"/>
  <c r="K55" i="43" s="1"/>
  <c r="AJ111" i="53"/>
  <c r="M111" i="53"/>
  <c r="K111" i="43" s="1"/>
  <c r="AJ47" i="53"/>
  <c r="M47" i="53"/>
  <c r="K47" i="43" s="1"/>
  <c r="K39" i="39"/>
  <c r="I84" i="38"/>
  <c r="H73" i="38"/>
  <c r="I213" i="18"/>
  <c r="K70" i="38"/>
  <c r="L276" i="18"/>
  <c r="K81" i="38" s="1"/>
  <c r="F32" i="38"/>
  <c r="O129" i="35"/>
  <c r="J85" i="38"/>
  <c r="K224" i="35"/>
  <c r="O73" i="35"/>
  <c r="L21" i="38" s="1"/>
  <c r="N223" i="35"/>
  <c r="I245" i="18"/>
  <c r="H68" i="38" s="1"/>
  <c r="K274" i="18"/>
  <c r="M214" i="48"/>
  <c r="K82" i="38" s="1"/>
  <c r="K192" i="18"/>
  <c r="K191" i="18"/>
  <c r="J193" i="18"/>
  <c r="I275" i="18"/>
  <c r="H80" i="38" s="1"/>
  <c r="H81" i="31"/>
  <c r="M22" i="37"/>
  <c r="K22" i="37"/>
  <c r="K25" i="37" s="1"/>
  <c r="AE177" i="13"/>
  <c r="AD151" i="13"/>
  <c r="AF151" i="13" s="1"/>
  <c r="S151" i="13" s="1"/>
  <c r="E207" i="13"/>
  <c r="AL143" i="13"/>
  <c r="AL163" i="13" s="1"/>
  <c r="AK189" i="13"/>
  <c r="AL189" i="13" s="1"/>
  <c r="G221" i="13"/>
  <c r="AH185" i="13"/>
  <c r="P185" i="13"/>
  <c r="AK186" i="13"/>
  <c r="AL186" i="13" s="1"/>
  <c r="G218" i="13"/>
  <c r="R222" i="13"/>
  <c r="U222" i="13"/>
  <c r="S222" i="13"/>
  <c r="O222" i="13"/>
  <c r="K221" i="13"/>
  <c r="T221" i="13" s="1"/>
  <c r="S189" i="13"/>
  <c r="R189" i="13"/>
  <c r="O189" i="13"/>
  <c r="U189" i="13"/>
  <c r="K224" i="13"/>
  <c r="T224" i="13" s="1"/>
  <c r="R192" i="13"/>
  <c r="O192" i="13"/>
  <c r="U192" i="13"/>
  <c r="S192" i="13"/>
  <c r="AH187" i="13"/>
  <c r="P187" i="13"/>
  <c r="K220" i="13"/>
  <c r="T220" i="13" s="1"/>
  <c r="U188" i="13"/>
  <c r="S188" i="13"/>
  <c r="R188" i="13"/>
  <c r="O188" i="13"/>
  <c r="K216" i="13"/>
  <c r="T216" i="13" s="1"/>
  <c r="R184" i="13"/>
  <c r="O184" i="13"/>
  <c r="U184" i="13"/>
  <c r="S184" i="13"/>
  <c r="K223" i="13"/>
  <c r="T223" i="13" s="1"/>
  <c r="R191" i="13"/>
  <c r="U191" i="13"/>
  <c r="O191" i="13"/>
  <c r="S191" i="13"/>
  <c r="P162" i="13"/>
  <c r="AH162" i="13"/>
  <c r="K226" i="13"/>
  <c r="T226" i="13" s="1"/>
  <c r="O194" i="13"/>
  <c r="U194" i="13"/>
  <c r="S194" i="13"/>
  <c r="R194" i="13"/>
  <c r="AK187" i="13"/>
  <c r="AL187" i="13" s="1"/>
  <c r="G219" i="13"/>
  <c r="P152" i="13"/>
  <c r="AH152" i="13"/>
  <c r="AH157" i="13"/>
  <c r="P157" i="13"/>
  <c r="AK185" i="13"/>
  <c r="AL185" i="13" s="1"/>
  <c r="G217" i="13"/>
  <c r="O219" i="13"/>
  <c r="R219" i="13"/>
  <c r="U219" i="13"/>
  <c r="S219" i="13"/>
  <c r="P156" i="13"/>
  <c r="AH156" i="13"/>
  <c r="E226" i="13"/>
  <c r="J226" i="13" s="1"/>
  <c r="AH159" i="13"/>
  <c r="P159" i="13"/>
  <c r="AK184" i="13"/>
  <c r="AL184" i="13" s="1"/>
  <c r="G216" i="13"/>
  <c r="P160" i="13"/>
  <c r="AH160" i="13"/>
  <c r="G223" i="13"/>
  <c r="AK191" i="13"/>
  <c r="AL191" i="13" s="1"/>
  <c r="U193" i="13"/>
  <c r="O193" i="13"/>
  <c r="S193" i="13"/>
  <c r="R193" i="13"/>
  <c r="P154" i="13"/>
  <c r="AH154" i="13"/>
  <c r="K218" i="13"/>
  <c r="T218" i="13" s="1"/>
  <c r="O186" i="13"/>
  <c r="U186" i="13"/>
  <c r="S186" i="13"/>
  <c r="R186" i="13"/>
  <c r="P190" i="13"/>
  <c r="AH190" i="13"/>
  <c r="AH161" i="13"/>
  <c r="P161" i="13"/>
  <c r="R217" i="13"/>
  <c r="U217" i="13"/>
  <c r="O217" i="13"/>
  <c r="S217" i="13"/>
  <c r="L199" i="18"/>
  <c r="M207" i="18"/>
  <c r="K200" i="18"/>
  <c r="H201" i="18"/>
  <c r="L198" i="18"/>
  <c r="M205" i="18"/>
  <c r="I137" i="18"/>
  <c r="J124" i="18"/>
  <c r="H34" i="49"/>
  <c r="L76" i="18"/>
  <c r="M83" i="18"/>
  <c r="M61" i="39"/>
  <c r="O102" i="35"/>
  <c r="O89" i="35"/>
  <c r="K239" i="31"/>
  <c r="L189" i="31"/>
  <c r="L152" i="31"/>
  <c r="L192" i="31"/>
  <c r="L208" i="31"/>
  <c r="L223" i="31"/>
  <c r="L151" i="31"/>
  <c r="L219" i="31"/>
  <c r="L221" i="31"/>
  <c r="L232" i="31"/>
  <c r="L195" i="31"/>
  <c r="L129" i="31"/>
  <c r="L176" i="31"/>
  <c r="L233" i="31"/>
  <c r="L111" i="31"/>
  <c r="L117" i="31"/>
  <c r="L135" i="31"/>
  <c r="L228" i="31"/>
  <c r="L227" i="31"/>
  <c r="L211" i="31"/>
  <c r="L205" i="31"/>
  <c r="L104" i="31"/>
  <c r="L179" i="31"/>
  <c r="M110" i="18"/>
  <c r="T53" i="29"/>
  <c r="T14" i="29" s="1"/>
  <c r="T52" i="29"/>
  <c r="T11" i="29" s="1"/>
  <c r="L56" i="18"/>
  <c r="O21" i="29"/>
  <c r="O22" i="29" s="1"/>
  <c r="Q32" i="29"/>
  <c r="Q34" i="29" s="1"/>
  <c r="Q36" i="29" s="1"/>
  <c r="Q30" i="29"/>
  <c r="S35" i="29"/>
  <c r="L80" i="18"/>
  <c r="L24" i="18"/>
  <c r="L36" i="18"/>
  <c r="F40" i="37"/>
  <c r="F43" i="37" s="1"/>
  <c r="H15" i="39" s="1"/>
  <c r="AF118" i="13"/>
  <c r="S118" i="13" s="1"/>
  <c r="U118" i="13" s="1"/>
  <c r="AF119" i="13"/>
  <c r="S119" i="13" s="1"/>
  <c r="AB131" i="13"/>
  <c r="E264" i="13" s="1"/>
  <c r="S67" i="13"/>
  <c r="G262" i="13" s="1"/>
  <c r="AD150" i="13"/>
  <c r="AE150" i="13"/>
  <c r="R150" i="13" s="1"/>
  <c r="AE114" i="13"/>
  <c r="R114" i="13" s="1"/>
  <c r="AD114" i="13"/>
  <c r="R33" i="29"/>
  <c r="M140" i="35"/>
  <c r="M141" i="35" s="1"/>
  <c r="M151" i="35" s="1"/>
  <c r="R18" i="29"/>
  <c r="K123" i="18"/>
  <c r="K221" i="18" s="1"/>
  <c r="T131" i="13"/>
  <c r="P182" i="13"/>
  <c r="K213" i="13"/>
  <c r="T213" i="13" s="1"/>
  <c r="O181" i="13"/>
  <c r="AK180" i="13"/>
  <c r="AL180" i="13" s="1"/>
  <c r="G212" i="13"/>
  <c r="P148" i="13"/>
  <c r="AH148" i="13"/>
  <c r="O215" i="13"/>
  <c r="U67" i="13"/>
  <c r="H117" i="18" s="1"/>
  <c r="S113" i="13"/>
  <c r="R113" i="13"/>
  <c r="AH147" i="13"/>
  <c r="P147" i="13"/>
  <c r="AH183" i="13"/>
  <c r="P183" i="13"/>
  <c r="U119" i="13"/>
  <c r="AK181" i="13"/>
  <c r="AL181" i="13" s="1"/>
  <c r="G213" i="13"/>
  <c r="AK182" i="13"/>
  <c r="AL182" i="13" s="1"/>
  <c r="G214" i="13"/>
  <c r="AH145" i="13"/>
  <c r="P145" i="13"/>
  <c r="K209" i="13"/>
  <c r="T209" i="13" s="1"/>
  <c r="O177" i="13"/>
  <c r="AK183" i="13"/>
  <c r="AL183" i="13" s="1"/>
  <c r="G215" i="13"/>
  <c r="K210" i="13"/>
  <c r="T210" i="13" s="1"/>
  <c r="O178" i="13"/>
  <c r="U83" i="13"/>
  <c r="K195" i="13"/>
  <c r="K121" i="49" s="1"/>
  <c r="K104" i="49" s="1"/>
  <c r="O208" i="13"/>
  <c r="O163" i="13"/>
  <c r="R99" i="13"/>
  <c r="U82" i="13"/>
  <c r="K211" i="13"/>
  <c r="T211" i="13" s="1"/>
  <c r="O179" i="13"/>
  <c r="U85" i="13"/>
  <c r="P176" i="13"/>
  <c r="AH176" i="13"/>
  <c r="P146" i="13"/>
  <c r="AH146" i="13"/>
  <c r="U81" i="13"/>
  <c r="R151" i="13"/>
  <c r="AH149" i="13"/>
  <c r="P149" i="13"/>
  <c r="AK176" i="13"/>
  <c r="AL176" i="13" s="1"/>
  <c r="G208" i="13"/>
  <c r="P131" i="13"/>
  <c r="R115" i="13"/>
  <c r="S117" i="13"/>
  <c r="R117" i="13"/>
  <c r="U112" i="13"/>
  <c r="J121" i="49"/>
  <c r="J104" i="49" s="1"/>
  <c r="R144" i="13"/>
  <c r="K212" i="13"/>
  <c r="T212" i="13" s="1"/>
  <c r="U180" i="13"/>
  <c r="O180" i="13"/>
  <c r="R180" i="13"/>
  <c r="S180" i="13"/>
  <c r="O37" i="29"/>
  <c r="AB52" i="29"/>
  <c r="S26" i="29" s="1"/>
  <c r="N139" i="35" s="1"/>
  <c r="K27" i="38" s="1"/>
  <c r="AB53" i="29"/>
  <c r="S29" i="29" s="1"/>
  <c r="N140" i="35" s="1"/>
  <c r="AB158" i="29"/>
  <c r="AB54" i="29" s="1"/>
  <c r="R13" i="29"/>
  <c r="R15" i="29" s="1"/>
  <c r="R28" i="29"/>
  <c r="S8" i="29"/>
  <c r="AB50" i="29"/>
  <c r="J79" i="31"/>
  <c r="K209" i="35"/>
  <c r="J25" i="37"/>
  <c r="AF12" i="36"/>
  <c r="N108" i="35"/>
  <c r="N112" i="35" s="1"/>
  <c r="K32" i="38" s="1"/>
  <c r="K113" i="49" s="1"/>
  <c r="J34" i="37"/>
  <c r="J84" i="38" s="1"/>
  <c r="M34" i="37"/>
  <c r="Y12" i="36"/>
  <c r="L31" i="24"/>
  <c r="AI21" i="36"/>
  <c r="AI37" i="36"/>
  <c r="AI53" i="36"/>
  <c r="AI69" i="36"/>
  <c r="AI30" i="36"/>
  <c r="AI46" i="36"/>
  <c r="AI62" i="36"/>
  <c r="AI19" i="36"/>
  <c r="AI35" i="36"/>
  <c r="AI51" i="36"/>
  <c r="AI67" i="36"/>
  <c r="AI28" i="36"/>
  <c r="AI44" i="36"/>
  <c r="AI60" i="36"/>
  <c r="AI25" i="36"/>
  <c r="AI41" i="36"/>
  <c r="AI57" i="36"/>
  <c r="AI18" i="36"/>
  <c r="AI34" i="36"/>
  <c r="AI50" i="36"/>
  <c r="AI66" i="36"/>
  <c r="AI23" i="36"/>
  <c r="AI39" i="36"/>
  <c r="AI55" i="36"/>
  <c r="AI15" i="36"/>
  <c r="AI32" i="36"/>
  <c r="AI48" i="36"/>
  <c r="AI64" i="36"/>
  <c r="AI14" i="36"/>
  <c r="AI29" i="36"/>
  <c r="AI45" i="36"/>
  <c r="AI61" i="36"/>
  <c r="AI22" i="36"/>
  <c r="AI38" i="36"/>
  <c r="AI54" i="36"/>
  <c r="AI70" i="36"/>
  <c r="AI27" i="36"/>
  <c r="AI43" i="36"/>
  <c r="AI59" i="36"/>
  <c r="AI20" i="36"/>
  <c r="AI36" i="36"/>
  <c r="AI52" i="36"/>
  <c r="AI68" i="36"/>
  <c r="AI17" i="36"/>
  <c r="AI33" i="36"/>
  <c r="AI49" i="36"/>
  <c r="AI65" i="36"/>
  <c r="AI26" i="36"/>
  <c r="AI42" i="36"/>
  <c r="AI58" i="36"/>
  <c r="AI16" i="36"/>
  <c r="AI31" i="36"/>
  <c r="AI47" i="36"/>
  <c r="AI63" i="36"/>
  <c r="AI24" i="36"/>
  <c r="AI40" i="36"/>
  <c r="AI56" i="36"/>
  <c r="V141" i="43"/>
  <c r="V12" i="43" s="1"/>
  <c r="W15" i="43"/>
  <c r="S141" i="53"/>
  <c r="S12" i="53" s="1"/>
  <c r="L141" i="53"/>
  <c r="L12" i="53" s="1"/>
  <c r="AI141" i="53"/>
  <c r="AI12" i="53" s="1"/>
  <c r="L266" i="24"/>
  <c r="L21" i="24" s="1"/>
  <c r="K67" i="31"/>
  <c r="K68" i="31"/>
  <c r="J78" i="31"/>
  <c r="I80" i="31"/>
  <c r="L150" i="24"/>
  <c r="L15" i="24" s="1"/>
  <c r="J16" i="44" s="1"/>
  <c r="J69" i="31"/>
  <c r="J77" i="31"/>
  <c r="K66" i="31"/>
  <c r="S25" i="29"/>
  <c r="AK175" i="13"/>
  <c r="AL175" i="13" s="1"/>
  <c r="G207" i="13"/>
  <c r="AB163" i="13"/>
  <c r="F265" i="13" s="1"/>
  <c r="AF159" i="13"/>
  <c r="S14" i="29"/>
  <c r="AF121" i="13"/>
  <c r="AF155" i="13"/>
  <c r="AF162" i="13"/>
  <c r="AF152" i="13"/>
  <c r="AF122" i="13"/>
  <c r="AF115" i="13"/>
  <c r="S115" i="13" s="1"/>
  <c r="AF129" i="13"/>
  <c r="AF144" i="13"/>
  <c r="S144" i="13" s="1"/>
  <c r="AF125" i="13"/>
  <c r="AF160" i="13"/>
  <c r="AJ213" i="13"/>
  <c r="AJ226" i="13"/>
  <c r="AJ189" i="13"/>
  <c r="AJ216" i="13"/>
  <c r="AJ214" i="13"/>
  <c r="AJ208" i="13"/>
  <c r="AJ223" i="13"/>
  <c r="AF148" i="13"/>
  <c r="AF156" i="13"/>
  <c r="AF149" i="13"/>
  <c r="AD154" i="13"/>
  <c r="AE154" i="13"/>
  <c r="AE147" i="13"/>
  <c r="AD147" i="13"/>
  <c r="AE191" i="13"/>
  <c r="AD191" i="13"/>
  <c r="AE153" i="13"/>
  <c r="AD153" i="13"/>
  <c r="AD194" i="13"/>
  <c r="AE194" i="13"/>
  <c r="AD176" i="13"/>
  <c r="AE176" i="13"/>
  <c r="AD192" i="13"/>
  <c r="AE192" i="13"/>
  <c r="AJ186" i="13"/>
  <c r="AJ224" i="13"/>
  <c r="AJ209" i="13"/>
  <c r="AD190" i="13"/>
  <c r="AE190" i="13"/>
  <c r="AE187" i="13"/>
  <c r="AD187" i="13"/>
  <c r="AE220" i="13"/>
  <c r="AD220" i="13"/>
  <c r="AF158" i="13"/>
  <c r="AJ185" i="13"/>
  <c r="AD188" i="13"/>
  <c r="AE188" i="13"/>
  <c r="AJ222" i="13"/>
  <c r="AJ219" i="13"/>
  <c r="AJ212" i="13"/>
  <c r="AJ215" i="13"/>
  <c r="AJ179" i="13"/>
  <c r="AJ178" i="13"/>
  <c r="AJ193" i="13"/>
  <c r="AE181" i="13"/>
  <c r="AD181" i="13"/>
  <c r="AD184" i="13"/>
  <c r="AE184" i="13"/>
  <c r="AD146" i="13"/>
  <c r="AE146" i="13"/>
  <c r="AE161" i="13"/>
  <c r="AD161" i="13"/>
  <c r="AD180" i="13"/>
  <c r="AE180" i="13"/>
  <c r="AE157" i="13"/>
  <c r="AD157" i="13"/>
  <c r="E263" i="13"/>
  <c r="AF79" i="13"/>
  <c r="S79" i="13" s="1"/>
  <c r="S99" i="13" s="1"/>
  <c r="G263" i="13" s="1"/>
  <c r="AE143" i="13"/>
  <c r="R143" i="13" s="1"/>
  <c r="AD143" i="13"/>
  <c r="T163" i="13"/>
  <c r="AH175" i="13"/>
  <c r="P175" i="13"/>
  <c r="I207" i="13"/>
  <c r="AJ175" i="13"/>
  <c r="O207" i="13"/>
  <c r="AF111" i="13"/>
  <c r="S111" i="13" s="1"/>
  <c r="I225" i="13"/>
  <c r="AB225" i="13" s="1"/>
  <c r="E210" i="13"/>
  <c r="J210" i="13" s="1"/>
  <c r="I211" i="13"/>
  <c r="AB211" i="13" s="1"/>
  <c r="I210" i="13"/>
  <c r="AB210" i="13" s="1"/>
  <c r="E220" i="13"/>
  <c r="J220" i="13" s="1"/>
  <c r="E219" i="13"/>
  <c r="J219" i="13" s="1"/>
  <c r="E216" i="13"/>
  <c r="J216" i="13" s="1"/>
  <c r="AA141" i="53"/>
  <c r="AA12" i="53" s="1"/>
  <c r="AB15" i="53"/>
  <c r="E209" i="13"/>
  <c r="J209" i="13" s="1"/>
  <c r="AI141" i="43"/>
  <c r="AI12" i="43" s="1"/>
  <c r="AJ15" i="43"/>
  <c r="E215" i="13"/>
  <c r="J215" i="13" s="1"/>
  <c r="I141" i="43"/>
  <c r="I12" i="43" s="1"/>
  <c r="E224" i="13"/>
  <c r="J224" i="13" s="1"/>
  <c r="E223" i="13"/>
  <c r="J223" i="13" s="1"/>
  <c r="I218" i="13"/>
  <c r="AB218" i="13" s="1"/>
  <c r="I41" i="39"/>
  <c r="K227" i="35"/>
  <c r="L209" i="35"/>
  <c r="L25" i="37"/>
  <c r="M112" i="35"/>
  <c r="J32" i="38" s="1"/>
  <c r="J113" i="49" s="1"/>
  <c r="L34" i="37"/>
  <c r="H26" i="40"/>
  <c r="H55" i="49"/>
  <c r="M16" i="39"/>
  <c r="M47" i="39"/>
  <c r="L54" i="39"/>
  <c r="M20" i="39"/>
  <c r="M19" i="39"/>
  <c r="M14" i="39"/>
  <c r="M43" i="39"/>
  <c r="L45" i="39"/>
  <c r="J44" i="40" s="1"/>
  <c r="M21" i="39"/>
  <c r="I12" i="37"/>
  <c r="L181" i="35"/>
  <c r="I30" i="38" s="1"/>
  <c r="M210" i="35"/>
  <c r="M228" i="35"/>
  <c r="N210" i="35"/>
  <c r="N228" i="35"/>
  <c r="L228" i="35"/>
  <c r="M92" i="35"/>
  <c r="J22" i="38" s="1"/>
  <c r="N205" i="35"/>
  <c r="N79" i="35"/>
  <c r="N206" i="35" s="1"/>
  <c r="K225" i="13"/>
  <c r="T225" i="13" s="1"/>
  <c r="G222" i="13"/>
  <c r="AK222" i="13" s="1"/>
  <c r="AL222" i="13" s="1"/>
  <c r="I221" i="13"/>
  <c r="AB221" i="13" s="1"/>
  <c r="I217" i="13"/>
  <c r="AB217" i="13" s="1"/>
  <c r="E217" i="13"/>
  <c r="J217" i="13" s="1"/>
  <c r="K100" i="18"/>
  <c r="L88" i="18"/>
  <c r="P21" i="29"/>
  <c r="P39" i="29" s="1"/>
  <c r="K30" i="18"/>
  <c r="S20" i="29"/>
  <c r="R10" i="29"/>
  <c r="R12" i="29" s="1"/>
  <c r="Q10" i="29"/>
  <c r="K61" i="31"/>
  <c r="N22" i="24" s="1"/>
  <c r="K14" i="37"/>
  <c r="J28" i="38" l="1"/>
  <c r="O214" i="13"/>
  <c r="P214" i="13" s="1"/>
  <c r="T175" i="13"/>
  <c r="T195" i="13" s="1"/>
  <c r="O209" i="35"/>
  <c r="O227" i="35"/>
  <c r="L16" i="24"/>
  <c r="J38" i="18"/>
  <c r="U28" i="29"/>
  <c r="V92" i="53"/>
  <c r="N15" i="18"/>
  <c r="V41" i="53"/>
  <c r="V57" i="53"/>
  <c r="V116" i="53"/>
  <c r="V56" i="53"/>
  <c r="V21" i="53"/>
  <c r="V110" i="53"/>
  <c r="V124" i="53"/>
  <c r="V32" i="53"/>
  <c r="V25" i="53"/>
  <c r="V61" i="53"/>
  <c r="V112" i="53"/>
  <c r="V20" i="53"/>
  <c r="M45" i="39"/>
  <c r="U17" i="29"/>
  <c r="K22" i="22"/>
  <c r="V96" i="53"/>
  <c r="V24" i="53"/>
  <c r="V40" i="53"/>
  <c r="V77" i="53"/>
  <c r="V129" i="53"/>
  <c r="V133" i="53"/>
  <c r="V128" i="53"/>
  <c r="J71" i="31"/>
  <c r="O132" i="35"/>
  <c r="L33" i="38" s="1"/>
  <c r="K33" i="49"/>
  <c r="V73" i="53"/>
  <c r="V72" i="53"/>
  <c r="V45" i="53"/>
  <c r="V106" i="53"/>
  <c r="V44" i="53"/>
  <c r="V68" i="53"/>
  <c r="V65" i="53"/>
  <c r="V117" i="53"/>
  <c r="V49" i="53"/>
  <c r="M253" i="18"/>
  <c r="K54" i="49"/>
  <c r="K55" i="49" s="1"/>
  <c r="L65" i="39"/>
  <c r="K52" i="40" s="1"/>
  <c r="K37" i="40"/>
  <c r="M54" i="39"/>
  <c r="K38" i="40"/>
  <c r="K40" i="40" s="1"/>
  <c r="V15" i="53"/>
  <c r="V104" i="53"/>
  <c r="V109" i="53"/>
  <c r="V76" i="53"/>
  <c r="V105" i="53"/>
  <c r="V17" i="53"/>
  <c r="V29" i="53"/>
  <c r="V60" i="53"/>
  <c r="V84" i="53"/>
  <c r="L86" i="38"/>
  <c r="N252" i="18"/>
  <c r="L254" i="18"/>
  <c r="R63" i="43"/>
  <c r="AD63" i="43"/>
  <c r="R122" i="43"/>
  <c r="AD122" i="43"/>
  <c r="R99" i="43"/>
  <c r="AD99" i="43"/>
  <c r="R91" i="43"/>
  <c r="AD91" i="43"/>
  <c r="R74" i="43"/>
  <c r="AD74" i="43"/>
  <c r="R38" i="43"/>
  <c r="AD38" i="43"/>
  <c r="R83" i="43"/>
  <c r="AD83" i="43"/>
  <c r="R134" i="43"/>
  <c r="AD134" i="43"/>
  <c r="R18" i="43"/>
  <c r="AD18" i="43"/>
  <c r="R70" i="43"/>
  <c r="AD70" i="43"/>
  <c r="AC99" i="43"/>
  <c r="Q99" i="43"/>
  <c r="AC126" i="43"/>
  <c r="Q126" i="43"/>
  <c r="Q102" i="43"/>
  <c r="AC102" i="43"/>
  <c r="Q23" i="43"/>
  <c r="AC23" i="43"/>
  <c r="Q111" i="43"/>
  <c r="AC111" i="43"/>
  <c r="Q87" i="43"/>
  <c r="AC87" i="43"/>
  <c r="Q70" i="43"/>
  <c r="AC70" i="43"/>
  <c r="Q74" i="43"/>
  <c r="AC74" i="43"/>
  <c r="R47" i="43"/>
  <c r="AD47" i="43"/>
  <c r="R123" i="43"/>
  <c r="AD123" i="43"/>
  <c r="R138" i="43"/>
  <c r="AD138" i="43"/>
  <c r="V137" i="53"/>
  <c r="L137" i="43"/>
  <c r="V28" i="53"/>
  <c r="L28" i="43"/>
  <c r="V64" i="53"/>
  <c r="L64" i="43"/>
  <c r="V132" i="53"/>
  <c r="L132" i="43"/>
  <c r="V97" i="53"/>
  <c r="L97" i="43"/>
  <c r="V95" i="53"/>
  <c r="L95" i="43"/>
  <c r="V42" i="53"/>
  <c r="L42" i="43"/>
  <c r="V53" i="53"/>
  <c r="L53" i="43"/>
  <c r="Q134" i="43"/>
  <c r="AC134" i="43"/>
  <c r="Q43" i="43"/>
  <c r="AC43" i="43"/>
  <c r="Q22" i="43"/>
  <c r="AC22" i="43"/>
  <c r="Q66" i="43"/>
  <c r="AC66" i="43"/>
  <c r="R94" i="43"/>
  <c r="AD94" i="43"/>
  <c r="R118" i="43"/>
  <c r="AD118" i="43"/>
  <c r="R82" i="43"/>
  <c r="AD82" i="43"/>
  <c r="R86" i="43"/>
  <c r="AD86" i="43"/>
  <c r="R78" i="43"/>
  <c r="AD78" i="43"/>
  <c r="R90" i="43"/>
  <c r="AD90" i="43"/>
  <c r="R23" i="43"/>
  <c r="AD23" i="43"/>
  <c r="R27" i="43"/>
  <c r="AD27" i="43"/>
  <c r="R26" i="43"/>
  <c r="AD26" i="43"/>
  <c r="R114" i="43"/>
  <c r="AD114" i="43"/>
  <c r="R98" i="43"/>
  <c r="AD98" i="43"/>
  <c r="R62" i="43"/>
  <c r="AD62" i="43"/>
  <c r="R43" i="43"/>
  <c r="AD43" i="43"/>
  <c r="R75" i="43"/>
  <c r="AD75" i="43"/>
  <c r="R22" i="43"/>
  <c r="AD22" i="43"/>
  <c r="R54" i="43"/>
  <c r="AD54" i="43"/>
  <c r="R102" i="43"/>
  <c r="AD102" i="43"/>
  <c r="R51" i="43"/>
  <c r="AD51" i="43"/>
  <c r="R115" i="43"/>
  <c r="AD115" i="43"/>
  <c r="R58" i="43"/>
  <c r="AD58" i="43"/>
  <c r="R139" i="43"/>
  <c r="AD139" i="43"/>
  <c r="V121" i="53"/>
  <c r="L121" i="43"/>
  <c r="R33" i="43"/>
  <c r="AD33" i="43"/>
  <c r="Q35" i="43"/>
  <c r="AC35" i="43"/>
  <c r="Q83" i="43"/>
  <c r="AC83" i="43"/>
  <c r="Q75" i="43"/>
  <c r="AC75" i="43"/>
  <c r="Q26" i="43"/>
  <c r="AC26" i="43"/>
  <c r="Q30" i="43"/>
  <c r="AC30" i="43"/>
  <c r="Q38" i="43"/>
  <c r="AC38" i="43"/>
  <c r="Q62" i="43"/>
  <c r="AC62" i="43"/>
  <c r="Q51" i="43"/>
  <c r="AC51" i="43"/>
  <c r="Q91" i="43"/>
  <c r="AC91" i="43"/>
  <c r="Q54" i="43"/>
  <c r="AC54" i="43"/>
  <c r="Q19" i="43"/>
  <c r="AC19" i="43"/>
  <c r="Q39" i="43"/>
  <c r="AC39" i="43"/>
  <c r="Q59" i="43"/>
  <c r="AC59" i="43"/>
  <c r="Q50" i="43"/>
  <c r="AC50" i="43"/>
  <c r="AC118" i="43"/>
  <c r="Q118" i="43"/>
  <c r="Q18" i="43"/>
  <c r="AC18" i="43"/>
  <c r="R46" i="43"/>
  <c r="AD46" i="43"/>
  <c r="R66" i="43"/>
  <c r="AD66" i="43"/>
  <c r="R50" i="43"/>
  <c r="AD50" i="43"/>
  <c r="R135" i="43"/>
  <c r="AD135" i="43"/>
  <c r="R30" i="43"/>
  <c r="AD30" i="43"/>
  <c r="R126" i="43"/>
  <c r="AD126" i="43"/>
  <c r="R59" i="43"/>
  <c r="AD59" i="43"/>
  <c r="R130" i="43"/>
  <c r="AD130" i="43"/>
  <c r="R79" i="43"/>
  <c r="AD79" i="43"/>
  <c r="R87" i="43"/>
  <c r="AD87" i="43"/>
  <c r="Q139" i="43"/>
  <c r="AC139" i="43"/>
  <c r="Q27" i="43"/>
  <c r="AC27" i="43"/>
  <c r="Q94" i="43"/>
  <c r="AC94" i="43"/>
  <c r="Q90" i="43"/>
  <c r="AC90" i="43"/>
  <c r="AC127" i="43"/>
  <c r="Q127" i="43"/>
  <c r="Q58" i="43"/>
  <c r="AC58" i="43"/>
  <c r="Q130" i="43"/>
  <c r="AC130" i="43"/>
  <c r="Q123" i="43"/>
  <c r="AC123" i="43"/>
  <c r="Q86" i="43"/>
  <c r="AC86" i="43"/>
  <c r="Q122" i="43"/>
  <c r="AC122" i="43"/>
  <c r="R55" i="43"/>
  <c r="AD55" i="43"/>
  <c r="R131" i="43"/>
  <c r="AD131" i="43"/>
  <c r="R35" i="43"/>
  <c r="AD35" i="43"/>
  <c r="V108" i="53"/>
  <c r="L108" i="43"/>
  <c r="V71" i="53"/>
  <c r="L71" i="43"/>
  <c r="V101" i="53"/>
  <c r="L101" i="43"/>
  <c r="V125" i="53"/>
  <c r="L125" i="43"/>
  <c r="V69" i="53"/>
  <c r="L69" i="43"/>
  <c r="V136" i="53"/>
  <c r="L136" i="43"/>
  <c r="V36" i="53"/>
  <c r="L36" i="43"/>
  <c r="V52" i="53"/>
  <c r="L52" i="43"/>
  <c r="Q135" i="43"/>
  <c r="AC135" i="43"/>
  <c r="Q47" i="43"/>
  <c r="AC47" i="43"/>
  <c r="Q131" i="43"/>
  <c r="AC131" i="43"/>
  <c r="Q46" i="43"/>
  <c r="AC46" i="43"/>
  <c r="Q114" i="43"/>
  <c r="AC114" i="43"/>
  <c r="R111" i="43"/>
  <c r="AD111" i="43"/>
  <c r="R19" i="43"/>
  <c r="AD19" i="43"/>
  <c r="R39" i="43"/>
  <c r="AD39" i="43"/>
  <c r="R67" i="43"/>
  <c r="AD67" i="43"/>
  <c r="R34" i="43"/>
  <c r="AD34" i="43"/>
  <c r="AL125" i="53"/>
  <c r="V33" i="53"/>
  <c r="L33" i="43"/>
  <c r="V31" i="53"/>
  <c r="L31" i="43"/>
  <c r="V37" i="53"/>
  <c r="L37" i="43"/>
  <c r="V100" i="53"/>
  <c r="L100" i="43"/>
  <c r="V120" i="53"/>
  <c r="L120" i="43"/>
  <c r="V48" i="53"/>
  <c r="L48" i="43"/>
  <c r="V119" i="53"/>
  <c r="L119" i="43"/>
  <c r="V89" i="53"/>
  <c r="L89" i="43"/>
  <c r="V81" i="53"/>
  <c r="L81" i="43"/>
  <c r="V88" i="53"/>
  <c r="L88" i="43"/>
  <c r="V107" i="53"/>
  <c r="L107" i="43"/>
  <c r="V16" i="53"/>
  <c r="L16" i="43"/>
  <c r="V93" i="53"/>
  <c r="L93" i="43"/>
  <c r="V103" i="53"/>
  <c r="L103" i="43"/>
  <c r="V127" i="53"/>
  <c r="L127" i="43"/>
  <c r="V85" i="53"/>
  <c r="L85" i="43"/>
  <c r="Q79" i="43"/>
  <c r="AC79" i="43"/>
  <c r="Q63" i="43"/>
  <c r="AC63" i="43"/>
  <c r="Q138" i="43"/>
  <c r="AC138" i="43"/>
  <c r="AC55" i="43"/>
  <c r="Q55" i="43"/>
  <c r="Q115" i="43"/>
  <c r="AC115" i="43"/>
  <c r="Q67" i="43"/>
  <c r="AC67" i="43"/>
  <c r="Q98" i="43"/>
  <c r="AC98" i="43"/>
  <c r="Q78" i="43"/>
  <c r="AC78" i="43"/>
  <c r="Q82" i="43"/>
  <c r="AC82" i="43"/>
  <c r="Q34" i="43"/>
  <c r="AC34" i="43"/>
  <c r="N47" i="53"/>
  <c r="AL47" i="53" s="1"/>
  <c r="U47" i="53"/>
  <c r="N123" i="53"/>
  <c r="AL123" i="53" s="1"/>
  <c r="U123" i="53"/>
  <c r="N35" i="53"/>
  <c r="AL35" i="53" s="1"/>
  <c r="U35" i="53"/>
  <c r="N138" i="53"/>
  <c r="U138" i="53"/>
  <c r="N94" i="53"/>
  <c r="U94" i="53"/>
  <c r="N82" i="53"/>
  <c r="U82" i="53"/>
  <c r="N78" i="53"/>
  <c r="AL78" i="53" s="1"/>
  <c r="U78" i="53"/>
  <c r="N23" i="53"/>
  <c r="U23" i="53"/>
  <c r="N26" i="53"/>
  <c r="U26" i="53"/>
  <c r="N98" i="53"/>
  <c r="U98" i="53"/>
  <c r="N43" i="53"/>
  <c r="U43" i="53"/>
  <c r="N75" i="53"/>
  <c r="U75" i="53"/>
  <c r="N54" i="53"/>
  <c r="U54" i="53"/>
  <c r="N51" i="53"/>
  <c r="U51" i="53"/>
  <c r="N58" i="53"/>
  <c r="AL58" i="53" s="1"/>
  <c r="U58" i="53"/>
  <c r="N139" i="53"/>
  <c r="AL139" i="53" s="1"/>
  <c r="U139" i="53"/>
  <c r="N111" i="53"/>
  <c r="U111" i="53"/>
  <c r="N19" i="53"/>
  <c r="AL19" i="53" s="1"/>
  <c r="U19" i="53"/>
  <c r="N39" i="53"/>
  <c r="U39" i="53"/>
  <c r="N67" i="53"/>
  <c r="AL67" i="53" s="1"/>
  <c r="U67" i="53"/>
  <c r="N34" i="53"/>
  <c r="U34" i="53"/>
  <c r="AL53" i="53"/>
  <c r="AL71" i="53"/>
  <c r="V80" i="53"/>
  <c r="AL80" i="53"/>
  <c r="N55" i="53"/>
  <c r="U55" i="53"/>
  <c r="N131" i="53"/>
  <c r="U131" i="53"/>
  <c r="N118" i="53"/>
  <c r="U118" i="53"/>
  <c r="N86" i="53"/>
  <c r="AL86" i="53" s="1"/>
  <c r="U86" i="53"/>
  <c r="N90" i="53"/>
  <c r="U90" i="53"/>
  <c r="N27" i="53"/>
  <c r="U27" i="53"/>
  <c r="N114" i="53"/>
  <c r="U114" i="53"/>
  <c r="N62" i="53"/>
  <c r="AL62" i="53" s="1"/>
  <c r="U62" i="53"/>
  <c r="N22" i="53"/>
  <c r="U22" i="53"/>
  <c r="N102" i="53"/>
  <c r="U102" i="53"/>
  <c r="N115" i="53"/>
  <c r="U115" i="53"/>
  <c r="N46" i="53"/>
  <c r="U46" i="53"/>
  <c r="N66" i="53"/>
  <c r="AL66" i="53" s="1"/>
  <c r="U66" i="53"/>
  <c r="N63" i="53"/>
  <c r="U63" i="53"/>
  <c r="N50" i="53"/>
  <c r="U50" i="53"/>
  <c r="N122" i="53"/>
  <c r="U122" i="53"/>
  <c r="N99" i="53"/>
  <c r="AL99" i="53" s="1"/>
  <c r="U99" i="53"/>
  <c r="N135" i="53"/>
  <c r="U135" i="53"/>
  <c r="N91" i="53"/>
  <c r="U91" i="53"/>
  <c r="N30" i="53"/>
  <c r="U30" i="53"/>
  <c r="N74" i="53"/>
  <c r="U74" i="53"/>
  <c r="N126" i="53"/>
  <c r="U126" i="53"/>
  <c r="N38" i="53"/>
  <c r="U38" i="53"/>
  <c r="N83" i="53"/>
  <c r="AL83" i="53" s="1"/>
  <c r="U83" i="53"/>
  <c r="N59" i="53"/>
  <c r="AL59" i="53" s="1"/>
  <c r="U59" i="53"/>
  <c r="N134" i="53"/>
  <c r="U134" i="53"/>
  <c r="N130" i="53"/>
  <c r="U130" i="53"/>
  <c r="N18" i="53"/>
  <c r="U18" i="53"/>
  <c r="N79" i="53"/>
  <c r="AL79" i="53" s="1"/>
  <c r="U79" i="53"/>
  <c r="N87" i="53"/>
  <c r="U87" i="53"/>
  <c r="N70" i="53"/>
  <c r="U70" i="53"/>
  <c r="AL132" i="53"/>
  <c r="AL97" i="53"/>
  <c r="AL95" i="53"/>
  <c r="AL42" i="53"/>
  <c r="AL36" i="53"/>
  <c r="AL64" i="53"/>
  <c r="V113" i="53"/>
  <c r="AL113" i="53"/>
  <c r="I255" i="18"/>
  <c r="AL33" i="53"/>
  <c r="AT141" i="53"/>
  <c r="AT12" i="53" s="1"/>
  <c r="H210" i="18"/>
  <c r="F62" i="49"/>
  <c r="J207" i="13"/>
  <c r="AB207" i="13" s="1"/>
  <c r="T207" i="13" s="1"/>
  <c r="M198" i="18"/>
  <c r="M76" i="18"/>
  <c r="K69" i="38"/>
  <c r="N76" i="18"/>
  <c r="N245" i="18"/>
  <c r="N198" i="18"/>
  <c r="N83" i="18"/>
  <c r="N253" i="18" s="1"/>
  <c r="N276" i="18"/>
  <c r="N222" i="18"/>
  <c r="M233" i="31"/>
  <c r="M189" i="31"/>
  <c r="M205" i="31"/>
  <c r="M135" i="31"/>
  <c r="M176" i="31"/>
  <c r="M221" i="31"/>
  <c r="M208" i="31"/>
  <c r="M104" i="31"/>
  <c r="M211" i="31"/>
  <c r="M117" i="31"/>
  <c r="M129" i="31"/>
  <c r="M219" i="31"/>
  <c r="M192" i="31"/>
  <c r="M228" i="31"/>
  <c r="M232" i="31"/>
  <c r="M223" i="31"/>
  <c r="M179" i="31"/>
  <c r="M227" i="31"/>
  <c r="M111" i="31"/>
  <c r="M195" i="31"/>
  <c r="M151" i="31"/>
  <c r="M152" i="31"/>
  <c r="L84" i="38"/>
  <c r="L17" i="24"/>
  <c r="K231" i="18" s="1"/>
  <c r="O139" i="35"/>
  <c r="O141" i="35" s="1"/>
  <c r="O151" i="35" s="1"/>
  <c r="U52" i="29"/>
  <c r="U11" i="29" s="1"/>
  <c r="U158" i="29"/>
  <c r="U54" i="29" s="1"/>
  <c r="U53" i="29"/>
  <c r="U14" i="29" s="1"/>
  <c r="U20" i="29"/>
  <c r="AJ141" i="43"/>
  <c r="AJ12" i="43" s="1"/>
  <c r="AL34" i="53"/>
  <c r="AL122" i="53"/>
  <c r="AL74" i="53"/>
  <c r="AL134" i="53"/>
  <c r="AL111" i="53"/>
  <c r="AL137" i="53"/>
  <c r="AL27" i="53"/>
  <c r="AL54" i="53"/>
  <c r="AL138" i="53"/>
  <c r="AK46" i="53"/>
  <c r="AK63" i="53"/>
  <c r="AK50" i="53"/>
  <c r="AK99" i="53"/>
  <c r="AK91" i="53"/>
  <c r="AK74" i="53"/>
  <c r="AK38" i="53"/>
  <c r="AK83" i="53"/>
  <c r="AK134" i="53"/>
  <c r="AK18" i="53"/>
  <c r="AK70" i="53"/>
  <c r="AK55" i="53"/>
  <c r="AK131" i="53"/>
  <c r="AK35" i="53"/>
  <c r="AK94" i="53"/>
  <c r="AK118" i="53"/>
  <c r="AK82" i="53"/>
  <c r="AK86" i="53"/>
  <c r="AK78" i="53"/>
  <c r="AK90" i="53"/>
  <c r="AK23" i="53"/>
  <c r="AK27" i="53"/>
  <c r="AK26" i="53"/>
  <c r="AK114" i="53"/>
  <c r="AK98" i="53"/>
  <c r="AK62" i="53"/>
  <c r="AK43" i="53"/>
  <c r="AK75" i="53"/>
  <c r="AK22" i="53"/>
  <c r="AK54" i="53"/>
  <c r="AK102" i="53"/>
  <c r="AK51" i="53"/>
  <c r="AK115" i="53"/>
  <c r="AK58" i="53"/>
  <c r="AK138" i="53"/>
  <c r="AK66" i="53"/>
  <c r="AK122" i="53"/>
  <c r="AK135" i="53"/>
  <c r="AK30" i="53"/>
  <c r="AK126" i="53"/>
  <c r="AK59" i="53"/>
  <c r="AK130" i="53"/>
  <c r="AK79" i="53"/>
  <c r="AK87" i="53"/>
  <c r="AK47" i="53"/>
  <c r="AK123" i="53"/>
  <c r="AK111" i="53"/>
  <c r="AK19" i="53"/>
  <c r="AK39" i="53"/>
  <c r="AK67" i="53"/>
  <c r="AK34" i="53"/>
  <c r="AK139" i="53"/>
  <c r="H265" i="13"/>
  <c r="L268" i="18"/>
  <c r="K18" i="24"/>
  <c r="L229" i="18"/>
  <c r="O39" i="29"/>
  <c r="T30" i="29"/>
  <c r="T33" i="29"/>
  <c r="T34" i="29" s="1"/>
  <c r="T36" i="29" s="1"/>
  <c r="O18" i="35" s="1"/>
  <c r="O19" i="35" s="1"/>
  <c r="O28" i="35" s="1"/>
  <c r="AH12" i="36"/>
  <c r="J142" i="18"/>
  <c r="J218" i="18" s="1"/>
  <c r="I25" i="38" s="1"/>
  <c r="AK15" i="53"/>
  <c r="AB141" i="53"/>
  <c r="AB12" i="53" s="1"/>
  <c r="AC15" i="53"/>
  <c r="M141" i="53"/>
  <c r="M12" i="53" s="1"/>
  <c r="F113" i="49"/>
  <c r="L39" i="39"/>
  <c r="K84" i="38"/>
  <c r="J79" i="38"/>
  <c r="J213" i="18"/>
  <c r="I267" i="18" s="1"/>
  <c r="J247" i="18"/>
  <c r="I73" i="38" s="1"/>
  <c r="I272" i="18"/>
  <c r="H77" i="38" s="1"/>
  <c r="O228" i="35"/>
  <c r="O223" i="35"/>
  <c r="O79" i="35"/>
  <c r="O92" i="35" s="1"/>
  <c r="L22" i="38" s="1"/>
  <c r="L224" i="35"/>
  <c r="O205" i="35"/>
  <c r="J245" i="18"/>
  <c r="I68" i="38" s="1"/>
  <c r="AD177" i="13"/>
  <c r="AF177" i="13" s="1"/>
  <c r="O195" i="13"/>
  <c r="L192" i="18"/>
  <c r="L191" i="18"/>
  <c r="M191" i="18"/>
  <c r="K246" i="18"/>
  <c r="J72" i="38" s="1"/>
  <c r="K193" i="18"/>
  <c r="J275" i="18"/>
  <c r="I80" i="38" s="1"/>
  <c r="I264" i="18"/>
  <c r="I277" i="18" s="1"/>
  <c r="H83" i="38" s="1"/>
  <c r="K44" i="40"/>
  <c r="AD215" i="13"/>
  <c r="AE209" i="13"/>
  <c r="P163" i="13"/>
  <c r="P194" i="13"/>
  <c r="AH194" i="13"/>
  <c r="AH189" i="13"/>
  <c r="P189" i="13"/>
  <c r="S225" i="13"/>
  <c r="U225" i="13"/>
  <c r="R225" i="13"/>
  <c r="O225" i="13"/>
  <c r="U218" i="13"/>
  <c r="O218" i="13"/>
  <c r="S218" i="13"/>
  <c r="R218" i="13"/>
  <c r="AK217" i="13"/>
  <c r="AL217" i="13" s="1"/>
  <c r="P184" i="13"/>
  <c r="AH184" i="13"/>
  <c r="P188" i="13"/>
  <c r="AH188" i="13"/>
  <c r="P222" i="13"/>
  <c r="AH222" i="13"/>
  <c r="AK223" i="13"/>
  <c r="AL223" i="13" s="1"/>
  <c r="AH219" i="13"/>
  <c r="P219" i="13"/>
  <c r="R226" i="13"/>
  <c r="O226" i="13"/>
  <c r="U226" i="13"/>
  <c r="S226" i="13"/>
  <c r="AH191" i="13"/>
  <c r="P191" i="13"/>
  <c r="R223" i="13"/>
  <c r="O223" i="13"/>
  <c r="U223" i="13"/>
  <c r="S223" i="13"/>
  <c r="S220" i="13"/>
  <c r="U220" i="13"/>
  <c r="O220" i="13"/>
  <c r="R220" i="13"/>
  <c r="U224" i="13"/>
  <c r="O224" i="13"/>
  <c r="S224" i="13"/>
  <c r="R224" i="13"/>
  <c r="AK218" i="13"/>
  <c r="AL218" i="13" s="1"/>
  <c r="AK221" i="13"/>
  <c r="AL221" i="13" s="1"/>
  <c r="AH193" i="13"/>
  <c r="P193" i="13"/>
  <c r="S216" i="13"/>
  <c r="R216" i="13"/>
  <c r="O216" i="13"/>
  <c r="U216" i="13"/>
  <c r="U221" i="13"/>
  <c r="S221" i="13"/>
  <c r="R221" i="13"/>
  <c r="O221" i="13"/>
  <c r="AH217" i="13"/>
  <c r="P217" i="13"/>
  <c r="P186" i="13"/>
  <c r="AH186" i="13"/>
  <c r="AK216" i="13"/>
  <c r="AL216" i="13" s="1"/>
  <c r="AK219" i="13"/>
  <c r="AL219" i="13" s="1"/>
  <c r="P192" i="13"/>
  <c r="AH192" i="13"/>
  <c r="L200" i="18"/>
  <c r="M199" i="18"/>
  <c r="L246" i="18" s="1"/>
  <c r="K72" i="38" s="1"/>
  <c r="I201" i="18"/>
  <c r="J137" i="18"/>
  <c r="K124" i="18"/>
  <c r="T12" i="29"/>
  <c r="M122" i="18"/>
  <c r="M220" i="18" s="1"/>
  <c r="T15" i="29"/>
  <c r="M123" i="18"/>
  <c r="M221" i="18" s="1"/>
  <c r="L28" i="38" s="1"/>
  <c r="I81" i="31"/>
  <c r="M56" i="18"/>
  <c r="M80" i="18"/>
  <c r="M88" i="18"/>
  <c r="I19" i="18"/>
  <c r="AE182" i="13"/>
  <c r="L227" i="35"/>
  <c r="N209" i="35"/>
  <c r="M31" i="24"/>
  <c r="N31" i="24"/>
  <c r="O206" i="35"/>
  <c r="L30" i="18"/>
  <c r="M30" i="18"/>
  <c r="M36" i="18"/>
  <c r="M24" i="18"/>
  <c r="L239" i="31"/>
  <c r="L66" i="31"/>
  <c r="L68" i="31"/>
  <c r="L67" i="31"/>
  <c r="T18" i="29"/>
  <c r="T19" i="29" s="1"/>
  <c r="T21" i="29" s="1"/>
  <c r="T8" i="29"/>
  <c r="AC50" i="29"/>
  <c r="S27" i="29"/>
  <c r="I39" i="18"/>
  <c r="G13" i="37"/>
  <c r="G40" i="37" s="1"/>
  <c r="O41" i="29"/>
  <c r="R32" i="29"/>
  <c r="R34" i="29" s="1"/>
  <c r="R36" i="29" s="1"/>
  <c r="R30" i="29"/>
  <c r="Q17" i="29"/>
  <c r="Q19" i="29" s="1"/>
  <c r="Q12" i="29"/>
  <c r="F264" i="13"/>
  <c r="AD182" i="13"/>
  <c r="AF150" i="13"/>
  <c r="S150" i="13" s="1"/>
  <c r="U150" i="13" s="1"/>
  <c r="AE183" i="13"/>
  <c r="R183" i="13" s="1"/>
  <c r="AF114" i="13"/>
  <c r="S114" i="13" s="1"/>
  <c r="U114" i="13" s="1"/>
  <c r="N141" i="35"/>
  <c r="N151" i="35" s="1"/>
  <c r="AD183" i="13"/>
  <c r="S18" i="29"/>
  <c r="L123" i="18"/>
  <c r="L221" i="18" s="1"/>
  <c r="K28" i="38" s="1"/>
  <c r="R131" i="13"/>
  <c r="U151" i="13"/>
  <c r="O210" i="13"/>
  <c r="P180" i="13"/>
  <c r="AH180" i="13"/>
  <c r="U144" i="13"/>
  <c r="U117" i="13"/>
  <c r="R149" i="13"/>
  <c r="S149" i="13"/>
  <c r="R176" i="13"/>
  <c r="P208" i="13"/>
  <c r="AH208" i="13"/>
  <c r="P178" i="13"/>
  <c r="AH178" i="13"/>
  <c r="AK215" i="13"/>
  <c r="AL215" i="13" s="1"/>
  <c r="AK214" i="13"/>
  <c r="AL214" i="13" s="1"/>
  <c r="O213" i="13"/>
  <c r="R147" i="13"/>
  <c r="O211" i="13"/>
  <c r="O209" i="13"/>
  <c r="U113" i="13"/>
  <c r="AK212" i="13"/>
  <c r="AL212" i="13" s="1"/>
  <c r="AH181" i="13"/>
  <c r="P181" i="13"/>
  <c r="AL195" i="13"/>
  <c r="U212" i="13"/>
  <c r="O212" i="13"/>
  <c r="S212" i="13"/>
  <c r="R212" i="13"/>
  <c r="U115" i="13"/>
  <c r="AK208" i="13"/>
  <c r="AL208" i="13" s="1"/>
  <c r="R146" i="13"/>
  <c r="AH179" i="13"/>
  <c r="P179" i="13"/>
  <c r="P177" i="13"/>
  <c r="AH177" i="13"/>
  <c r="S145" i="13"/>
  <c r="R145" i="13"/>
  <c r="AK213" i="13"/>
  <c r="AL213" i="13" s="1"/>
  <c r="AH215" i="13"/>
  <c r="P215" i="13"/>
  <c r="R182" i="13"/>
  <c r="K18" i="35"/>
  <c r="K19" i="35" s="1"/>
  <c r="P37" i="29"/>
  <c r="S33" i="29"/>
  <c r="S13" i="29"/>
  <c r="S15" i="29" s="1"/>
  <c r="K69" i="31"/>
  <c r="N227" i="35"/>
  <c r="M25" i="37"/>
  <c r="AI12" i="36"/>
  <c r="E265" i="13"/>
  <c r="W141" i="43"/>
  <c r="W12" i="43" s="1"/>
  <c r="X15" i="43"/>
  <c r="AJ141" i="53"/>
  <c r="AJ12" i="53" s="1"/>
  <c r="T141" i="53"/>
  <c r="T12" i="53" s="1"/>
  <c r="J80" i="31"/>
  <c r="I40" i="40"/>
  <c r="M266" i="24"/>
  <c r="M21" i="24" s="1"/>
  <c r="M150" i="24"/>
  <c r="M15" i="24" s="1"/>
  <c r="K16" i="44" s="1"/>
  <c r="AK207" i="13"/>
  <c r="AL207" i="13" s="1"/>
  <c r="AB195" i="13"/>
  <c r="E266" i="13" s="1"/>
  <c r="AF181" i="13"/>
  <c r="AF188" i="13"/>
  <c r="AF157" i="13"/>
  <c r="AF161" i="13"/>
  <c r="AF184" i="13"/>
  <c r="AF220" i="13"/>
  <c r="AF192" i="13"/>
  <c r="AF194" i="13"/>
  <c r="AD186" i="13"/>
  <c r="AE186" i="13"/>
  <c r="AJ221" i="13"/>
  <c r="AD178" i="13"/>
  <c r="AE178" i="13"/>
  <c r="AE219" i="13"/>
  <c r="AD219" i="13"/>
  <c r="AF190" i="13"/>
  <c r="AF191" i="13"/>
  <c r="AF147" i="13"/>
  <c r="S147" i="13" s="1"/>
  <c r="AF154" i="13"/>
  <c r="AE216" i="13"/>
  <c r="AD216" i="13"/>
  <c r="AE189" i="13"/>
  <c r="AD189" i="13"/>
  <c r="AE226" i="13"/>
  <c r="AD226" i="13"/>
  <c r="AJ218" i="13"/>
  <c r="AJ211" i="13"/>
  <c r="AJ225" i="13"/>
  <c r="AE179" i="13"/>
  <c r="AD179" i="13"/>
  <c r="AE212" i="13"/>
  <c r="AD212" i="13"/>
  <c r="AE224" i="13"/>
  <c r="AD224" i="13"/>
  <c r="AJ217" i="13"/>
  <c r="AJ210" i="13"/>
  <c r="AF180" i="13"/>
  <c r="AF146" i="13"/>
  <c r="S146" i="13" s="1"/>
  <c r="AE193" i="13"/>
  <c r="AD193" i="13"/>
  <c r="AD222" i="13"/>
  <c r="AE222" i="13"/>
  <c r="AE185" i="13"/>
  <c r="AD185" i="13"/>
  <c r="AF187" i="13"/>
  <c r="AF176" i="13"/>
  <c r="S176" i="13" s="1"/>
  <c r="AF153" i="13"/>
  <c r="AE223" i="13"/>
  <c r="AD223" i="13"/>
  <c r="AE213" i="13"/>
  <c r="AD213" i="13"/>
  <c r="U79" i="13"/>
  <c r="U99" i="13" s="1"/>
  <c r="AD175" i="13"/>
  <c r="AE175" i="13"/>
  <c r="R175" i="13" s="1"/>
  <c r="AH207" i="13"/>
  <c r="P207" i="13"/>
  <c r="AJ207" i="13"/>
  <c r="U111" i="13"/>
  <c r="AF143" i="13"/>
  <c r="S143" i="13" s="1"/>
  <c r="J141" i="43"/>
  <c r="J12" i="43" s="1"/>
  <c r="J40" i="40"/>
  <c r="J41" i="39"/>
  <c r="H28" i="40" s="1"/>
  <c r="M227" i="35"/>
  <c r="M209" i="35"/>
  <c r="I55" i="49"/>
  <c r="I26" i="40"/>
  <c r="J55" i="49"/>
  <c r="I39" i="37"/>
  <c r="N181" i="35"/>
  <c r="K30" i="38" s="1"/>
  <c r="M181" i="35"/>
  <c r="J30" i="38" s="1"/>
  <c r="N92" i="35"/>
  <c r="K22" i="38" s="1"/>
  <c r="K227" i="13"/>
  <c r="L121" i="49" s="1"/>
  <c r="L104" i="49" s="1"/>
  <c r="L100" i="18"/>
  <c r="P22" i="29"/>
  <c r="K78" i="31"/>
  <c r="K77" i="31"/>
  <c r="K79" i="31"/>
  <c r="R17" i="29"/>
  <c r="R19" i="29" s="1"/>
  <c r="K41" i="37"/>
  <c r="AH214" i="13" l="1"/>
  <c r="L27" i="38"/>
  <c r="O210" i="35"/>
  <c r="K85" i="38"/>
  <c r="L38" i="18"/>
  <c r="M16" i="24"/>
  <c r="K38" i="18"/>
  <c r="U30" i="29"/>
  <c r="U32" i="29"/>
  <c r="U34" i="29" s="1"/>
  <c r="U36" i="29" s="1"/>
  <c r="J81" i="31"/>
  <c r="I34" i="49"/>
  <c r="N141" i="53"/>
  <c r="N12" i="53" s="1"/>
  <c r="M254" i="18"/>
  <c r="L54" i="49"/>
  <c r="L55" i="49" s="1"/>
  <c r="M65" i="39"/>
  <c r="L52" i="40" s="1"/>
  <c r="J26" i="40"/>
  <c r="V87" i="53"/>
  <c r="L87" i="43"/>
  <c r="V134" i="53"/>
  <c r="L134" i="43"/>
  <c r="V126" i="53"/>
  <c r="L126" i="43"/>
  <c r="V135" i="53"/>
  <c r="L135" i="43"/>
  <c r="V63" i="53"/>
  <c r="L63" i="43"/>
  <c r="V102" i="53"/>
  <c r="L102" i="43"/>
  <c r="V27" i="53"/>
  <c r="L27" i="43"/>
  <c r="V39" i="53"/>
  <c r="L39" i="43"/>
  <c r="V54" i="53"/>
  <c r="L54" i="43"/>
  <c r="V26" i="53"/>
  <c r="L26" i="43"/>
  <c r="V94" i="53"/>
  <c r="L94" i="43"/>
  <c r="AL63" i="53"/>
  <c r="AL135" i="53"/>
  <c r="V70" i="53"/>
  <c r="L70" i="43"/>
  <c r="V79" i="53"/>
  <c r="L79" i="43"/>
  <c r="V130" i="53"/>
  <c r="L130" i="43"/>
  <c r="V59" i="53"/>
  <c r="L59" i="43"/>
  <c r="V38" i="53"/>
  <c r="L38" i="43"/>
  <c r="V74" i="53"/>
  <c r="L74" i="43"/>
  <c r="V91" i="53"/>
  <c r="L91" i="43"/>
  <c r="V99" i="53"/>
  <c r="L99" i="43"/>
  <c r="V50" i="53"/>
  <c r="L50" i="43"/>
  <c r="V66" i="53"/>
  <c r="L66" i="43"/>
  <c r="V115" i="53"/>
  <c r="L115" i="43"/>
  <c r="V22" i="53"/>
  <c r="L22" i="43"/>
  <c r="V114" i="53"/>
  <c r="L114" i="43"/>
  <c r="V90" i="53"/>
  <c r="L90" i="43"/>
  <c r="V118" i="53"/>
  <c r="L118" i="43"/>
  <c r="V55" i="53"/>
  <c r="L55" i="43"/>
  <c r="V67" i="53"/>
  <c r="L67" i="43"/>
  <c r="V19" i="53"/>
  <c r="L19" i="43"/>
  <c r="V139" i="53"/>
  <c r="L139" i="43"/>
  <c r="V51" i="53"/>
  <c r="L51" i="43"/>
  <c r="V75" i="53"/>
  <c r="L75" i="43"/>
  <c r="V98" i="53"/>
  <c r="L98" i="43"/>
  <c r="V23" i="53"/>
  <c r="L23" i="43"/>
  <c r="V82" i="53"/>
  <c r="L82" i="43"/>
  <c r="V138" i="53"/>
  <c r="L138" i="43"/>
  <c r="V123" i="53"/>
  <c r="L123" i="43"/>
  <c r="V18" i="53"/>
  <c r="L18" i="43"/>
  <c r="V83" i="53"/>
  <c r="L83" i="43"/>
  <c r="V30" i="53"/>
  <c r="L30" i="43"/>
  <c r="V122" i="53"/>
  <c r="L122" i="43"/>
  <c r="V46" i="53"/>
  <c r="L46" i="43"/>
  <c r="V62" i="53"/>
  <c r="L62" i="43"/>
  <c r="V86" i="53"/>
  <c r="L86" i="43"/>
  <c r="V131" i="53"/>
  <c r="L131" i="43"/>
  <c r="V34" i="53"/>
  <c r="L34" i="43"/>
  <c r="V111" i="53"/>
  <c r="L111" i="43"/>
  <c r="V58" i="53"/>
  <c r="L58" i="43"/>
  <c r="V43" i="53"/>
  <c r="L43" i="43"/>
  <c r="V78" i="53"/>
  <c r="L78" i="43"/>
  <c r="V35" i="53"/>
  <c r="L35" i="43"/>
  <c r="V47" i="53"/>
  <c r="L47" i="43"/>
  <c r="AL43" i="53"/>
  <c r="AL87" i="53"/>
  <c r="AL30" i="53"/>
  <c r="AL39" i="53"/>
  <c r="AL102" i="53"/>
  <c r="AL26" i="53"/>
  <c r="AL94" i="53"/>
  <c r="AL131" i="53"/>
  <c r="AL18" i="53"/>
  <c r="AL126" i="53"/>
  <c r="AL46" i="53"/>
  <c r="AL115" i="53"/>
  <c r="AL22" i="53"/>
  <c r="AL98" i="53"/>
  <c r="AL23" i="53"/>
  <c r="AL82" i="53"/>
  <c r="AL55" i="53"/>
  <c r="AL51" i="53"/>
  <c r="AL75" i="53"/>
  <c r="AL114" i="53"/>
  <c r="AL90" i="53"/>
  <c r="AL118" i="53"/>
  <c r="AL70" i="53"/>
  <c r="AL130" i="53"/>
  <c r="AL38" i="53"/>
  <c r="AL91" i="53"/>
  <c r="AL50" i="53"/>
  <c r="J255" i="18"/>
  <c r="N8" i="18"/>
  <c r="U50" i="29"/>
  <c r="N21" i="48"/>
  <c r="K6" i="22"/>
  <c r="M15" i="31"/>
  <c r="M56" i="31" s="1"/>
  <c r="N88" i="18"/>
  <c r="N254" i="18" s="1"/>
  <c r="N199" i="18"/>
  <c r="N192" i="18" s="1"/>
  <c r="N246" i="18"/>
  <c r="N191" i="18"/>
  <c r="M68" i="31"/>
  <c r="M67" i="31"/>
  <c r="M239" i="31"/>
  <c r="M66" i="31"/>
  <c r="L78" i="31"/>
  <c r="L79" i="31"/>
  <c r="L77" i="31"/>
  <c r="U18" i="29"/>
  <c r="U19" i="29" s="1"/>
  <c r="U21" i="29" s="1"/>
  <c r="U39" i="29" s="1"/>
  <c r="N123" i="18"/>
  <c r="N221" i="18" s="1"/>
  <c r="U15" i="29"/>
  <c r="N122" i="18"/>
  <c r="U12" i="29"/>
  <c r="AC141" i="53"/>
  <c r="AC12" i="53" s="1"/>
  <c r="AD15" i="53"/>
  <c r="X141" i="43"/>
  <c r="X12" i="43" s="1"/>
  <c r="U141" i="53"/>
  <c r="U12" i="53" s="1"/>
  <c r="AK141" i="53"/>
  <c r="AK12" i="53" s="1"/>
  <c r="H266" i="13"/>
  <c r="M268" i="18"/>
  <c r="L18" i="24"/>
  <c r="AE215" i="13"/>
  <c r="AF215" i="13" s="1"/>
  <c r="S215" i="13" s="1"/>
  <c r="M4" i="22"/>
  <c r="AE10" i="43"/>
  <c r="K142" i="18"/>
  <c r="M39" i="39"/>
  <c r="J272" i="18"/>
  <c r="I77" i="38" s="1"/>
  <c r="N224" i="35"/>
  <c r="M224" i="35"/>
  <c r="K245" i="18"/>
  <c r="J68" i="38" s="1"/>
  <c r="L245" i="18"/>
  <c r="K68" i="38" s="1"/>
  <c r="M275" i="18"/>
  <c r="L80" i="38" s="1"/>
  <c r="H86" i="38"/>
  <c r="H87" i="38" s="1"/>
  <c r="M213" i="18"/>
  <c r="M267" i="18" s="1"/>
  <c r="M245" i="18"/>
  <c r="M192" i="18"/>
  <c r="L193" i="18"/>
  <c r="K247" i="18"/>
  <c r="J73" i="38" s="1"/>
  <c r="L275" i="18"/>
  <c r="K80" i="38" s="1"/>
  <c r="K275" i="18"/>
  <c r="J80" i="38" s="1"/>
  <c r="M274" i="18"/>
  <c r="L79" i="38" s="1"/>
  <c r="L274" i="18"/>
  <c r="K79" i="38" s="1"/>
  <c r="J264" i="18"/>
  <c r="K26" i="40"/>
  <c r="K71" i="31"/>
  <c r="AD209" i="13"/>
  <c r="AF209" i="13" s="1"/>
  <c r="P224" i="13"/>
  <c r="AH224" i="13"/>
  <c r="O227" i="13"/>
  <c r="AF182" i="13"/>
  <c r="S182" i="13" s="1"/>
  <c r="P220" i="13"/>
  <c r="AH220" i="13"/>
  <c r="P216" i="13"/>
  <c r="AH216" i="13"/>
  <c r="AH221" i="13"/>
  <c r="P221" i="13"/>
  <c r="AH223" i="13"/>
  <c r="P223" i="13"/>
  <c r="P226" i="13"/>
  <c r="AH226" i="13"/>
  <c r="P218" i="13"/>
  <c r="AH218" i="13"/>
  <c r="AH225" i="13"/>
  <c r="P225" i="13"/>
  <c r="M100" i="18"/>
  <c r="I22" i="18"/>
  <c r="H15" i="38" s="1"/>
  <c r="J201" i="18"/>
  <c r="M200" i="18"/>
  <c r="K137" i="18"/>
  <c r="L124" i="18"/>
  <c r="T39" i="29"/>
  <c r="M124" i="18"/>
  <c r="M19" i="18"/>
  <c r="N266" i="24"/>
  <c r="N21" i="24" s="1"/>
  <c r="K80" i="31"/>
  <c r="N150" i="24"/>
  <c r="N15" i="24" s="1"/>
  <c r="L16" i="44" s="1"/>
  <c r="O224" i="35"/>
  <c r="L69" i="31"/>
  <c r="G16" i="37"/>
  <c r="J39" i="18"/>
  <c r="K28" i="35"/>
  <c r="P41" i="29"/>
  <c r="Q21" i="29"/>
  <c r="Q39" i="29" s="1"/>
  <c r="P195" i="13"/>
  <c r="AF183" i="13"/>
  <c r="S183" i="13" s="1"/>
  <c r="U183" i="13" s="1"/>
  <c r="S131" i="13"/>
  <c r="G264" i="13" s="1"/>
  <c r="U149" i="13"/>
  <c r="U131" i="13"/>
  <c r="AL227" i="13"/>
  <c r="H267" i="13" s="1"/>
  <c r="AD214" i="13"/>
  <c r="AD208" i="13"/>
  <c r="AE214" i="13"/>
  <c r="R214" i="13" s="1"/>
  <c r="AE208" i="13"/>
  <c r="R208" i="13" s="1"/>
  <c r="U145" i="13"/>
  <c r="R163" i="13"/>
  <c r="AH213" i="13"/>
  <c r="P213" i="13"/>
  <c r="R179" i="13"/>
  <c r="U146" i="13"/>
  <c r="AH209" i="13"/>
  <c r="P209" i="13"/>
  <c r="R178" i="13"/>
  <c r="P211" i="13"/>
  <c r="AH211" i="13"/>
  <c r="S163" i="13"/>
  <c r="G265" i="13" s="1"/>
  <c r="H268" i="13"/>
  <c r="S181" i="13"/>
  <c r="R181" i="13"/>
  <c r="U147" i="13"/>
  <c r="U176" i="13"/>
  <c r="R215" i="13"/>
  <c r="U182" i="13"/>
  <c r="R177" i="13"/>
  <c r="S177" i="13"/>
  <c r="P212" i="13"/>
  <c r="AH212" i="13"/>
  <c r="P210" i="13"/>
  <c r="AH210" i="13"/>
  <c r="Q37" i="29"/>
  <c r="L18" i="35"/>
  <c r="L19" i="35" s="1"/>
  <c r="R21" i="29"/>
  <c r="K19" i="18" s="1"/>
  <c r="M18" i="35"/>
  <c r="S28" i="29"/>
  <c r="I117" i="18"/>
  <c r="F266" i="13"/>
  <c r="AF223" i="13"/>
  <c r="AF185" i="13"/>
  <c r="AF179" i="13"/>
  <c r="S179" i="13" s="1"/>
  <c r="AF226" i="13"/>
  <c r="AF216" i="13"/>
  <c r="AF219" i="13"/>
  <c r="AF178" i="13"/>
  <c r="S178" i="13" s="1"/>
  <c r="AF186" i="13"/>
  <c r="AF189" i="13"/>
  <c r="AF222" i="13"/>
  <c r="AD210" i="13"/>
  <c r="AE210" i="13"/>
  <c r="AF224" i="13"/>
  <c r="AE211" i="13"/>
  <c r="AD211" i="13"/>
  <c r="AF213" i="13"/>
  <c r="AE217" i="13"/>
  <c r="AD217" i="13"/>
  <c r="AF212" i="13"/>
  <c r="AB227" i="13"/>
  <c r="F267" i="13" s="1"/>
  <c r="AF193" i="13"/>
  <c r="AE225" i="13"/>
  <c r="AD225" i="13"/>
  <c r="AD218" i="13"/>
  <c r="AE218" i="13"/>
  <c r="AE221" i="13"/>
  <c r="AD221" i="13"/>
  <c r="AF175" i="13"/>
  <c r="S175" i="13" s="1"/>
  <c r="AE207" i="13"/>
  <c r="R207" i="13" s="1"/>
  <c r="AD207" i="13"/>
  <c r="T227" i="13"/>
  <c r="U143" i="13"/>
  <c r="K141" i="43"/>
  <c r="K12" i="43" s="1"/>
  <c r="H13" i="37"/>
  <c r="G43" i="37"/>
  <c r="H62" i="49" s="1"/>
  <c r="J12" i="37"/>
  <c r="S10" i="29"/>
  <c r="M17" i="24"/>
  <c r="L231" i="18" s="1"/>
  <c r="L14" i="37"/>
  <c r="V141" i="53" l="1"/>
  <c r="V12" i="53" s="1"/>
  <c r="AL141" i="53"/>
  <c r="AL12" i="53" s="1"/>
  <c r="K255" i="18"/>
  <c r="K272" i="18"/>
  <c r="J77" i="38" s="1"/>
  <c r="K218" i="18"/>
  <c r="J25" i="38" s="1"/>
  <c r="H25" i="49"/>
  <c r="H88" i="49" s="1"/>
  <c r="I210" i="18"/>
  <c r="AD50" i="29"/>
  <c r="U8" i="29"/>
  <c r="N216" i="48"/>
  <c r="N204" i="48"/>
  <c r="N144" i="48"/>
  <c r="N41" i="48"/>
  <c r="N124" i="48"/>
  <c r="N184" i="48"/>
  <c r="N101" i="48"/>
  <c r="N164" i="48"/>
  <c r="N81" i="48"/>
  <c r="N61" i="48"/>
  <c r="N36" i="18"/>
  <c r="N120" i="18"/>
  <c r="N80" i="18"/>
  <c r="N24" i="18"/>
  <c r="N56" i="18"/>
  <c r="N140" i="18"/>
  <c r="N188" i="18"/>
  <c r="N110" i="18"/>
  <c r="N200" i="18"/>
  <c r="N193" i="18" s="1"/>
  <c r="N247" i="18"/>
  <c r="N100" i="18"/>
  <c r="O266" i="24"/>
  <c r="M69" i="31"/>
  <c r="M77" i="31"/>
  <c r="O150" i="24"/>
  <c r="M78" i="31"/>
  <c r="M79" i="31"/>
  <c r="N17" i="24"/>
  <c r="M231" i="18" s="1"/>
  <c r="N124" i="18"/>
  <c r="N137" i="18" s="1"/>
  <c r="N220" i="18"/>
  <c r="N275" i="18"/>
  <c r="N19" i="18"/>
  <c r="N22" i="18" s="1"/>
  <c r="AD141" i="53"/>
  <c r="AD12" i="53" s="1"/>
  <c r="L141" i="43"/>
  <c r="L12" i="43" s="1"/>
  <c r="L142" i="18"/>
  <c r="L218" i="18" s="1"/>
  <c r="K25" i="38" s="1"/>
  <c r="K213" i="18"/>
  <c r="J267" i="18" s="1"/>
  <c r="L213" i="18"/>
  <c r="L267" i="18" s="1"/>
  <c r="J277" i="18"/>
  <c r="I83" i="38" s="1"/>
  <c r="K86" i="38"/>
  <c r="J86" i="38"/>
  <c r="I86" i="38"/>
  <c r="M246" i="18"/>
  <c r="M193" i="18"/>
  <c r="L247" i="18"/>
  <c r="K73" i="38" s="1"/>
  <c r="K264" i="18"/>
  <c r="K277" i="18" s="1"/>
  <c r="J83" i="38" s="1"/>
  <c r="K201" i="18"/>
  <c r="I32" i="18"/>
  <c r="K39" i="18"/>
  <c r="M137" i="18"/>
  <c r="L137" i="18"/>
  <c r="R39" i="29"/>
  <c r="M18" i="24"/>
  <c r="M22" i="18"/>
  <c r="L15" i="38" s="1"/>
  <c r="Q22" i="29"/>
  <c r="Q41" i="29" s="1"/>
  <c r="J19" i="18"/>
  <c r="L80" i="31"/>
  <c r="L71" i="31"/>
  <c r="K81" i="31"/>
  <c r="J34" i="49"/>
  <c r="L21" i="44"/>
  <c r="L18" i="44"/>
  <c r="M232" i="18" s="1"/>
  <c r="L29" i="44"/>
  <c r="L31" i="44" s="1"/>
  <c r="O35" i="35" s="1"/>
  <c r="O157" i="35"/>
  <c r="N23" i="24"/>
  <c r="O34" i="35" s="1"/>
  <c r="L34" i="44"/>
  <c r="K22" i="18"/>
  <c r="L28" i="35"/>
  <c r="S32" i="29"/>
  <c r="S34" i="29" s="1"/>
  <c r="S30" i="29"/>
  <c r="S17" i="29"/>
  <c r="S19" i="29" s="1"/>
  <c r="S12" i="29"/>
  <c r="R22" i="29"/>
  <c r="AF214" i="13"/>
  <c r="S214" i="13" s="1"/>
  <c r="U214" i="13" s="1"/>
  <c r="J117" i="18"/>
  <c r="R195" i="13"/>
  <c r="AF208" i="13"/>
  <c r="S208" i="13" s="1"/>
  <c r="U208" i="13" s="1"/>
  <c r="U177" i="13"/>
  <c r="U215" i="13"/>
  <c r="U178" i="13"/>
  <c r="U163" i="13"/>
  <c r="S195" i="13"/>
  <c r="G266" i="13" s="1"/>
  <c r="R210" i="13"/>
  <c r="S209" i="13"/>
  <c r="R209" i="13"/>
  <c r="R213" i="13"/>
  <c r="S213" i="13"/>
  <c r="R211" i="13"/>
  <c r="P227" i="13"/>
  <c r="U181" i="13"/>
  <c r="U179" i="13"/>
  <c r="M19" i="35"/>
  <c r="R37" i="29"/>
  <c r="E267" i="13"/>
  <c r="AF217" i="13"/>
  <c r="AF211" i="13"/>
  <c r="S211" i="13" s="1"/>
  <c r="E268" i="13"/>
  <c r="AF221" i="13"/>
  <c r="AF225" i="13"/>
  <c r="AF218" i="13"/>
  <c r="AF210" i="13"/>
  <c r="S210" i="13" s="1"/>
  <c r="U175" i="13"/>
  <c r="AF207" i="13"/>
  <c r="S207" i="13" s="1"/>
  <c r="K41" i="39"/>
  <c r="I28" i="40" s="1"/>
  <c r="H40" i="37"/>
  <c r="H16" i="37"/>
  <c r="J39" i="37"/>
  <c r="L41" i="37"/>
  <c r="M41" i="39"/>
  <c r="L41" i="39"/>
  <c r="J15" i="38" l="1"/>
  <c r="N255" i="18"/>
  <c r="I251" i="18"/>
  <c r="M255" i="18"/>
  <c r="L255" i="18"/>
  <c r="I25" i="49"/>
  <c r="I88" i="49" s="1"/>
  <c r="J210" i="18"/>
  <c r="O15" i="24"/>
  <c r="O21" i="24"/>
  <c r="M34" i="44" s="1"/>
  <c r="M80" i="31"/>
  <c r="M71" i="31"/>
  <c r="N274" i="18"/>
  <c r="N201" i="18"/>
  <c r="N32" i="18"/>
  <c r="N18" i="24"/>
  <c r="K34" i="49"/>
  <c r="N28" i="24"/>
  <c r="N29" i="24" s="1"/>
  <c r="K267" i="18"/>
  <c r="M272" i="18"/>
  <c r="I87" i="38"/>
  <c r="L272" i="18"/>
  <c r="K77" i="38" s="1"/>
  <c r="H197" i="18"/>
  <c r="J87" i="38"/>
  <c r="I197" i="18"/>
  <c r="M247" i="18"/>
  <c r="K117" i="18"/>
  <c r="L264" i="18"/>
  <c r="L277" i="18" s="1"/>
  <c r="K83" i="38" s="1"/>
  <c r="N24" i="24"/>
  <c r="M201" i="18"/>
  <c r="M39" i="18"/>
  <c r="L201" i="18"/>
  <c r="M32" i="18"/>
  <c r="K32" i="18"/>
  <c r="S36" i="29"/>
  <c r="O167" i="35"/>
  <c r="O184" i="35" s="1"/>
  <c r="J28" i="40"/>
  <c r="K28" i="40"/>
  <c r="L35" i="44"/>
  <c r="L22" i="44"/>
  <c r="L14" i="44"/>
  <c r="L27" i="44"/>
  <c r="L81" i="31"/>
  <c r="T37" i="29"/>
  <c r="T22" i="29"/>
  <c r="L32" i="44"/>
  <c r="L19" i="44"/>
  <c r="M237" i="18"/>
  <c r="M258" i="18" s="1"/>
  <c r="N32" i="24"/>
  <c r="N33" i="24" s="1"/>
  <c r="J22" i="18"/>
  <c r="I15" i="38" s="1"/>
  <c r="L39" i="18"/>
  <c r="M28" i="35"/>
  <c r="S21" i="29"/>
  <c r="R41" i="29"/>
  <c r="U213" i="13"/>
  <c r="U209" i="13"/>
  <c r="S227" i="13"/>
  <c r="G267" i="13" s="1"/>
  <c r="U210" i="13"/>
  <c r="R227" i="13"/>
  <c r="U195" i="13"/>
  <c r="U211" i="13"/>
  <c r="F88" i="49"/>
  <c r="F26" i="49"/>
  <c r="F268" i="13"/>
  <c r="U207" i="13"/>
  <c r="I13" i="37"/>
  <c r="H43" i="37"/>
  <c r="I62" i="49" s="1"/>
  <c r="K12" i="37"/>
  <c r="M14" i="37"/>
  <c r="N251" i="18" l="1"/>
  <c r="N142" i="18"/>
  <c r="M16" i="44"/>
  <c r="M18" i="44" s="1"/>
  <c r="N232" i="18" s="1"/>
  <c r="N40" i="18" s="1"/>
  <c r="O17" i="24"/>
  <c r="N231" i="18" s="1"/>
  <c r="M35" i="44"/>
  <c r="M142" i="18"/>
  <c r="M218" i="18" s="1"/>
  <c r="L25" i="38" s="1"/>
  <c r="N144" i="18"/>
  <c r="N158" i="18" s="1"/>
  <c r="N208" i="18" s="1"/>
  <c r="N218" i="18"/>
  <c r="M21" i="44"/>
  <c r="M22" i="44" s="1"/>
  <c r="J25" i="49"/>
  <c r="J88" i="49" s="1"/>
  <c r="K210" i="18"/>
  <c r="M29" i="44"/>
  <c r="M31" i="44" s="1"/>
  <c r="M32" i="44" s="1"/>
  <c r="O23" i="24"/>
  <c r="M81" i="31"/>
  <c r="M14" i="44"/>
  <c r="M27" i="44"/>
  <c r="U37" i="29"/>
  <c r="L34" i="49"/>
  <c r="U22" i="29"/>
  <c r="M264" i="18"/>
  <c r="M277" i="18" s="1"/>
  <c r="L83" i="38" s="1"/>
  <c r="L87" i="38" s="1"/>
  <c r="N197" i="18"/>
  <c r="F80" i="49"/>
  <c r="K87" i="38"/>
  <c r="K197" i="18"/>
  <c r="M197" i="18"/>
  <c r="O188" i="35"/>
  <c r="J32" i="18"/>
  <c r="S39" i="29"/>
  <c r="S37" i="29"/>
  <c r="N18" i="35"/>
  <c r="N19" i="35" s="1"/>
  <c r="N28" i="35" s="1"/>
  <c r="O229" i="35"/>
  <c r="O211" i="35"/>
  <c r="O212" i="35" s="1"/>
  <c r="L78" i="49" s="1"/>
  <c r="L19" i="18"/>
  <c r="T41" i="29"/>
  <c r="O43" i="35"/>
  <c r="S22" i="29"/>
  <c r="L117" i="18"/>
  <c r="U227" i="13"/>
  <c r="G268" i="13"/>
  <c r="F105" i="49"/>
  <c r="F27" i="49"/>
  <c r="H17" i="39"/>
  <c r="I40" i="37"/>
  <c r="I16" i="37"/>
  <c r="K39" i="37"/>
  <c r="M41" i="37"/>
  <c r="M144" i="18" l="1"/>
  <c r="M158" i="18" s="1"/>
  <c r="M208" i="18" s="1"/>
  <c r="O28" i="24"/>
  <c r="O29" i="24" s="1"/>
  <c r="N272" i="18"/>
  <c r="O18" i="24"/>
  <c r="O32" i="24"/>
  <c r="O33" i="24" s="1"/>
  <c r="K251" i="18"/>
  <c r="J251" i="18"/>
  <c r="I66" i="38" s="1"/>
  <c r="M19" i="44"/>
  <c r="O24" i="24"/>
  <c r="K25" i="49"/>
  <c r="K88" i="49" s="1"/>
  <c r="L210" i="18"/>
  <c r="M117" i="18"/>
  <c r="U41" i="29"/>
  <c r="N237" i="18"/>
  <c r="N258" i="18" s="1"/>
  <c r="N244" i="18" s="1"/>
  <c r="N265" i="18" s="1"/>
  <c r="N39" i="18"/>
  <c r="J197" i="18"/>
  <c r="H66" i="38"/>
  <c r="O46" i="35"/>
  <c r="O96" i="35" s="1"/>
  <c r="O193" i="35" s="1"/>
  <c r="S41" i="29"/>
  <c r="L22" i="18"/>
  <c r="K15" i="38" s="1"/>
  <c r="O230" i="35"/>
  <c r="J26" i="49"/>
  <c r="J80" i="49" s="1"/>
  <c r="N117" i="18"/>
  <c r="N175" i="18" s="1"/>
  <c r="H26" i="49"/>
  <c r="J13" i="37"/>
  <c r="I43" i="37"/>
  <c r="J62" i="49" s="1"/>
  <c r="L12" i="37"/>
  <c r="H80" i="49" l="1"/>
  <c r="J105" i="49"/>
  <c r="I105" i="49"/>
  <c r="K105" i="49"/>
  <c r="H105" i="49"/>
  <c r="M175" i="18"/>
  <c r="N262" i="18"/>
  <c r="N248" i="18" s="1"/>
  <c r="K26" i="49"/>
  <c r="K80" i="49" s="1"/>
  <c r="N212" i="18"/>
  <c r="N210" i="18"/>
  <c r="N194" i="18" s="1"/>
  <c r="N223" i="18" s="1"/>
  <c r="L25" i="49"/>
  <c r="L88" i="49" s="1"/>
  <c r="M210" i="18"/>
  <c r="M194" i="18" s="1"/>
  <c r="N49" i="18"/>
  <c r="O220" i="35"/>
  <c r="O225" i="35" s="1"/>
  <c r="O232" i="35" s="1"/>
  <c r="O202" i="35"/>
  <c r="O207" i="35" s="1"/>
  <c r="L77" i="49" s="1"/>
  <c r="L32" i="18"/>
  <c r="H27" i="49"/>
  <c r="I26" i="49"/>
  <c r="I80" i="49" s="1"/>
  <c r="J27" i="49"/>
  <c r="I17" i="39"/>
  <c r="J40" i="37"/>
  <c r="J16" i="37"/>
  <c r="L39" i="37"/>
  <c r="K27" i="49" l="1"/>
  <c r="L26" i="49"/>
  <c r="L105" i="49" s="1"/>
  <c r="M251" i="18"/>
  <c r="L66" i="38" s="1"/>
  <c r="L251" i="18"/>
  <c r="K66" i="38" s="1"/>
  <c r="N266" i="18"/>
  <c r="N270" i="18" s="1"/>
  <c r="M212" i="18"/>
  <c r="L79" i="49" s="1"/>
  <c r="M223" i="18"/>
  <c r="N52" i="18"/>
  <c r="N104" i="18" s="1"/>
  <c r="N180" i="18" s="1"/>
  <c r="N204" i="18"/>
  <c r="N190" i="18" s="1"/>
  <c r="L80" i="49"/>
  <c r="L27" i="49"/>
  <c r="O214" i="35"/>
  <c r="L197" i="18"/>
  <c r="J66" i="38"/>
  <c r="I27" i="49"/>
  <c r="K13" i="37"/>
  <c r="J43" i="37"/>
  <c r="K62" i="49" s="1"/>
  <c r="M12" i="37"/>
  <c r="L31" i="38" l="1"/>
  <c r="L35" i="38" s="1"/>
  <c r="M244" i="18"/>
  <c r="N211" i="18"/>
  <c r="N215" i="18" s="1"/>
  <c r="M180" i="18"/>
  <c r="J17" i="39"/>
  <c r="K40" i="37"/>
  <c r="K16" i="37"/>
  <c r="M39" i="37"/>
  <c r="L19" i="49" l="1"/>
  <c r="L21" i="49" s="1"/>
  <c r="L86" i="49" s="1"/>
  <c r="L63" i="49"/>
  <c r="M265" i="18"/>
  <c r="L65" i="38"/>
  <c r="L74" i="38" s="1"/>
  <c r="L89" i="38" s="1"/>
  <c r="L102" i="38" s="1"/>
  <c r="L13" i="37"/>
  <c r="K43" i="37"/>
  <c r="L62" i="49" s="1"/>
  <c r="L22" i="49" l="1"/>
  <c r="L84" i="49"/>
  <c r="L83" i="49"/>
  <c r="L40" i="37"/>
  <c r="L16" i="37"/>
  <c r="K17" i="39"/>
  <c r="M13" i="37" l="1"/>
  <c r="L43" i="37"/>
  <c r="L17" i="39" l="1"/>
  <c r="M40" i="37"/>
  <c r="M43" i="37" s="1"/>
  <c r="M16" i="37"/>
  <c r="M17" i="39" l="1"/>
  <c r="I17" i="44" l="1"/>
  <c r="I14" i="44" l="1"/>
  <c r="I21" i="44"/>
  <c r="I22" i="44" s="1"/>
  <c r="I18" i="44"/>
  <c r="J232" i="18" l="1"/>
  <c r="J237" i="18" s="1"/>
  <c r="J258" i="18" s="1"/>
  <c r="J17" i="44"/>
  <c r="J14" i="44"/>
  <c r="K144" i="18"/>
  <c r="I19" i="44"/>
  <c r="K158" i="18" l="1"/>
  <c r="K175" i="18" s="1"/>
  <c r="J244" i="18"/>
  <c r="J21" i="44"/>
  <c r="J22" i="44" s="1"/>
  <c r="J18" i="44"/>
  <c r="K232" i="18" s="1"/>
  <c r="H17" i="44"/>
  <c r="I144" i="18"/>
  <c r="H14" i="44"/>
  <c r="J144" i="18"/>
  <c r="J265" i="18" l="1"/>
  <c r="K208" i="18"/>
  <c r="J158" i="18"/>
  <c r="J175" i="18" s="1"/>
  <c r="I158" i="18"/>
  <c r="I175" i="18" s="1"/>
  <c r="H21" i="44"/>
  <c r="H22" i="44" s="1"/>
  <c r="H18" i="44"/>
  <c r="I232" i="18" s="1"/>
  <c r="J19" i="44"/>
  <c r="K237" i="18"/>
  <c r="K258" i="18" s="1"/>
  <c r="K14" i="44"/>
  <c r="J262" i="18" l="1"/>
  <c r="K262" i="18"/>
  <c r="J212" i="18"/>
  <c r="I79" i="49" s="1"/>
  <c r="I208" i="18"/>
  <c r="I194" i="18" s="1"/>
  <c r="J208" i="18"/>
  <c r="J194" i="18" s="1"/>
  <c r="K194" i="18"/>
  <c r="K244" i="18"/>
  <c r="H175" i="18"/>
  <c r="K40" i="18"/>
  <c r="H19" i="44"/>
  <c r="L144" i="18"/>
  <c r="K17" i="44"/>
  <c r="J112" i="49" l="1"/>
  <c r="L112" i="49"/>
  <c r="I112" i="49"/>
  <c r="H112" i="49"/>
  <c r="I223" i="18"/>
  <c r="H31" i="38" s="1"/>
  <c r="J266" i="18"/>
  <c r="I212" i="18"/>
  <c r="H79" i="49" s="1"/>
  <c r="H212" i="18"/>
  <c r="J223" i="18"/>
  <c r="I31" i="38" s="1"/>
  <c r="K265" i="18"/>
  <c r="I266" i="18"/>
  <c r="K223" i="18"/>
  <c r="J31" i="38" s="1"/>
  <c r="J248" i="18"/>
  <c r="I237" i="18"/>
  <c r="I258" i="18" s="1"/>
  <c r="L158" i="18"/>
  <c r="L175" i="18" s="1"/>
  <c r="K49" i="18"/>
  <c r="I40" i="18"/>
  <c r="J40" i="18"/>
  <c r="K18" i="44"/>
  <c r="L232" i="18" s="1"/>
  <c r="K21" i="44"/>
  <c r="K22" i="44" s="1"/>
  <c r="L212" i="18" l="1"/>
  <c r="K79" i="49" s="1"/>
  <c r="M266" i="18"/>
  <c r="M262" i="18"/>
  <c r="M248" i="18" s="1"/>
  <c r="L262" i="18"/>
  <c r="I244" i="18"/>
  <c r="L208" i="18"/>
  <c r="K204" i="18"/>
  <c r="K190" i="18" s="1"/>
  <c r="K52" i="18"/>
  <c r="K104" i="18" s="1"/>
  <c r="J49" i="18"/>
  <c r="I49" i="18"/>
  <c r="K19" i="44"/>
  <c r="L237" i="18"/>
  <c r="J34" i="44"/>
  <c r="J35" i="44" s="1"/>
  <c r="K157" i="35"/>
  <c r="F78" i="49" l="1"/>
  <c r="K212" i="18"/>
  <c r="J79" i="49" s="1"/>
  <c r="J76" i="49"/>
  <c r="K266" i="18"/>
  <c r="L266" i="18"/>
  <c r="I265" i="18"/>
  <c r="K211" i="18"/>
  <c r="L194" i="18"/>
  <c r="K112" i="49" s="1"/>
  <c r="K167" i="35"/>
  <c r="K184" i="35" s="1"/>
  <c r="L258" i="18"/>
  <c r="M40" i="18"/>
  <c r="L16" i="38" s="1"/>
  <c r="I204" i="18"/>
  <c r="I190" i="18" s="1"/>
  <c r="J204" i="18"/>
  <c r="J190" i="18" s="1"/>
  <c r="J180" i="18"/>
  <c r="J52" i="18"/>
  <c r="J104" i="18" s="1"/>
  <c r="I76" i="49" s="1"/>
  <c r="I52" i="18"/>
  <c r="I104" i="18" s="1"/>
  <c r="H76" i="49" s="1"/>
  <c r="L40" i="18"/>
  <c r="L157" i="35"/>
  <c r="G140" i="18" s="1"/>
  <c r="I34" i="44"/>
  <c r="I35" i="44" s="1"/>
  <c r="I30" i="44"/>
  <c r="I27" i="44"/>
  <c r="M157" i="35"/>
  <c r="J27" i="44"/>
  <c r="J30" i="44"/>
  <c r="K34" i="44"/>
  <c r="K35" i="44" s="1"/>
  <c r="K215" i="18" l="1"/>
  <c r="K248" i="18"/>
  <c r="I211" i="18"/>
  <c r="I215" i="18" s="1"/>
  <c r="L223" i="18"/>
  <c r="K31" i="38" s="1"/>
  <c r="K35" i="38" s="1"/>
  <c r="L248" i="18"/>
  <c r="M49" i="18"/>
  <c r="M52" i="18" s="1"/>
  <c r="M104" i="18" s="1"/>
  <c r="L76" i="49" s="1"/>
  <c r="K188" i="35"/>
  <c r="K211" i="35"/>
  <c r="K212" i="35" s="1"/>
  <c r="H78" i="49" s="1"/>
  <c r="F87" i="38"/>
  <c r="F19" i="49" s="1"/>
  <c r="M167" i="35"/>
  <c r="M184" i="35" s="1"/>
  <c r="L167" i="35"/>
  <c r="L184" i="35" s="1"/>
  <c r="L188" i="35" s="1"/>
  <c r="I270" i="18"/>
  <c r="L244" i="18"/>
  <c r="J270" i="18"/>
  <c r="J211" i="18"/>
  <c r="H180" i="18"/>
  <c r="I180" i="18"/>
  <c r="L49" i="18"/>
  <c r="K30" i="44"/>
  <c r="N157" i="35"/>
  <c r="K27" i="44"/>
  <c r="K63" i="49" l="1"/>
  <c r="K19" i="49"/>
  <c r="K21" i="49" s="1"/>
  <c r="L180" i="18"/>
  <c r="L265" i="18"/>
  <c r="M204" i="18"/>
  <c r="M190" i="18" s="1"/>
  <c r="M188" i="35"/>
  <c r="K229" i="35"/>
  <c r="K230" i="35" s="1"/>
  <c r="M211" i="35"/>
  <c r="M212" i="35" s="1"/>
  <c r="J78" i="49" s="1"/>
  <c r="I35" i="38"/>
  <c r="L229" i="35"/>
  <c r="L230" i="35" s="1"/>
  <c r="L211" i="35"/>
  <c r="L212" i="35" s="1"/>
  <c r="I78" i="49" s="1"/>
  <c r="H35" i="38"/>
  <c r="N167" i="35"/>
  <c r="N184" i="35" s="1"/>
  <c r="J215" i="18"/>
  <c r="M211" i="18"/>
  <c r="L204" i="18"/>
  <c r="L190" i="18" s="1"/>
  <c r="L52" i="18"/>
  <c r="L104" i="18" s="1"/>
  <c r="K76" i="49" s="1"/>
  <c r="L14" i="38" l="1"/>
  <c r="L23" i="38" s="1"/>
  <c r="K22" i="49"/>
  <c r="K84" i="49"/>
  <c r="K83" i="49"/>
  <c r="I63" i="49"/>
  <c r="I19" i="49"/>
  <c r="H63" i="49"/>
  <c r="H19" i="49"/>
  <c r="M229" i="35"/>
  <c r="M230" i="35" s="1"/>
  <c r="N229" i="35"/>
  <c r="N230" i="35" s="1"/>
  <c r="K86" i="49" s="1"/>
  <c r="N211" i="35"/>
  <c r="N212" i="35" s="1"/>
  <c r="K78" i="49" s="1"/>
  <c r="N188" i="35"/>
  <c r="M215" i="18"/>
  <c r="M270" i="18"/>
  <c r="L211" i="18"/>
  <c r="K180" i="18"/>
  <c r="L58" i="49" l="1"/>
  <c r="L13" i="49"/>
  <c r="L37" i="38"/>
  <c r="J35" i="38"/>
  <c r="L215" i="18"/>
  <c r="K270" i="18"/>
  <c r="L270" i="18"/>
  <c r="L42" i="49" l="1"/>
  <c r="L40" i="49"/>
  <c r="L39" i="49"/>
  <c r="J63" i="49"/>
  <c r="J19" i="49"/>
  <c r="AA141" i="43" l="1"/>
  <c r="AA12" i="43" s="1"/>
  <c r="Z141" i="43"/>
  <c r="Z12" i="43" s="1"/>
  <c r="AB141" i="43" l="1"/>
  <c r="AB12" i="43" s="1"/>
  <c r="M23" i="24"/>
  <c r="K29" i="44"/>
  <c r="K31" i="44" s="1"/>
  <c r="M24" i="24" l="1"/>
  <c r="M28" i="24"/>
  <c r="M29" i="24" s="1"/>
  <c r="AC141" i="43"/>
  <c r="AC12" i="43" s="1"/>
  <c r="N35" i="35"/>
  <c r="K32" i="44"/>
  <c r="N34" i="35"/>
  <c r="M32" i="24"/>
  <c r="M33" i="24" s="1"/>
  <c r="AD141" i="43" l="1"/>
  <c r="AD12" i="43" s="1"/>
  <c r="N43" i="35"/>
  <c r="K67" i="38" l="1"/>
  <c r="K16" i="38"/>
  <c r="N46" i="35"/>
  <c r="N220" i="35" l="1"/>
  <c r="K65" i="38" s="1"/>
  <c r="K74" i="38" s="1"/>
  <c r="K89" i="38" s="1"/>
  <c r="K14" i="38"/>
  <c r="K23" i="38" s="1"/>
  <c r="N96" i="35"/>
  <c r="N193" i="35" s="1"/>
  <c r="N202" i="35"/>
  <c r="N207" i="35" s="1"/>
  <c r="K77" i="49" s="1"/>
  <c r="N225" i="35" l="1"/>
  <c r="N232" i="35" s="1"/>
  <c r="K58" i="49"/>
  <c r="K13" i="49"/>
  <c r="N214" i="35"/>
  <c r="J21" i="49"/>
  <c r="K37" i="38"/>
  <c r="K42" i="49" l="1"/>
  <c r="J84" i="49"/>
  <c r="J86" i="49"/>
  <c r="K39" i="49"/>
  <c r="K40" i="49"/>
  <c r="J83" i="49"/>
  <c r="J22" i="49"/>
  <c r="N141" i="43" l="1"/>
  <c r="N12" i="43" s="1"/>
  <c r="R141" i="43"/>
  <c r="R12" i="43" s="1"/>
  <c r="O141" i="43"/>
  <c r="O12" i="43" s="1"/>
  <c r="Q141" i="43"/>
  <c r="Q12" i="43" s="1"/>
  <c r="P141" i="43"/>
  <c r="P12" i="43" s="1"/>
  <c r="H158" i="18" l="1"/>
  <c r="I262" i="18" l="1"/>
  <c r="I248" i="18" s="1"/>
  <c r="H208" i="18"/>
  <c r="H194" i="18" s="1"/>
  <c r="F112" i="49" l="1"/>
  <c r="F79" i="49"/>
  <c r="H223" i="18"/>
  <c r="F35" i="38" s="1"/>
  <c r="H204" i="18"/>
  <c r="H190" i="18" l="1"/>
  <c r="H104" i="18"/>
  <c r="F76" i="49" l="1"/>
  <c r="H211" i="18"/>
  <c r="F63" i="49"/>
  <c r="H215" i="18" l="1"/>
  <c r="F37" i="38" l="1"/>
  <c r="K23" i="24" l="1"/>
  <c r="J29" i="44"/>
  <c r="J31" i="44" s="1"/>
  <c r="K24" i="24" l="1"/>
  <c r="I29" i="44"/>
  <c r="I31" i="44" s="1"/>
  <c r="I32" i="44" s="1"/>
  <c r="L23" i="24"/>
  <c r="K28" i="24" s="1"/>
  <c r="K29" i="24" s="1"/>
  <c r="K35" i="35"/>
  <c r="M35" i="35"/>
  <c r="J32" i="44"/>
  <c r="L34" i="35"/>
  <c r="K32" i="24"/>
  <c r="K33" i="24" s="1"/>
  <c r="I28" i="24" l="1"/>
  <c r="I29" i="24" s="1"/>
  <c r="L24" i="24"/>
  <c r="L28" i="24"/>
  <c r="L29" i="24" s="1"/>
  <c r="L35" i="35"/>
  <c r="L43" i="35" s="1"/>
  <c r="I16" i="38" s="1"/>
  <c r="M34" i="35"/>
  <c r="M43" i="35" s="1"/>
  <c r="K34" i="35"/>
  <c r="L32" i="24"/>
  <c r="L33" i="24" s="1"/>
  <c r="J28" i="24"/>
  <c r="J29" i="24" s="1"/>
  <c r="J67" i="38" l="1"/>
  <c r="J16" i="38"/>
  <c r="I67" i="38"/>
  <c r="M46" i="35"/>
  <c r="L46" i="35"/>
  <c r="K43" i="35"/>
  <c r="H16" i="38" s="1"/>
  <c r="F74" i="38"/>
  <c r="L202" i="35" l="1"/>
  <c r="L207" i="35" s="1"/>
  <c r="I77" i="49" s="1"/>
  <c r="I14" i="38"/>
  <c r="M220" i="35"/>
  <c r="M225" i="35" s="1"/>
  <c r="M232" i="35" s="1"/>
  <c r="J14" i="38"/>
  <c r="J23" i="38" s="1"/>
  <c r="H67" i="38"/>
  <c r="M96" i="35"/>
  <c r="M193" i="35" s="1"/>
  <c r="L220" i="35"/>
  <c r="M202" i="35"/>
  <c r="M207" i="35" s="1"/>
  <c r="J77" i="49" s="1"/>
  <c r="K46" i="35"/>
  <c r="L96" i="35"/>
  <c r="L193" i="35" s="1"/>
  <c r="F89" i="38"/>
  <c r="F13" i="49"/>
  <c r="L214" i="35" l="1"/>
  <c r="J65" i="38"/>
  <c r="J74" i="38" s="1"/>
  <c r="K96" i="35"/>
  <c r="K193" i="35" s="1"/>
  <c r="H14" i="38"/>
  <c r="F77" i="49"/>
  <c r="J58" i="49"/>
  <c r="J13" i="49"/>
  <c r="L225" i="35"/>
  <c r="L232" i="35" s="1"/>
  <c r="I65" i="38"/>
  <c r="I74" i="38" s="1"/>
  <c r="I23" i="38"/>
  <c r="M214" i="35"/>
  <c r="K220" i="35"/>
  <c r="K202" i="35"/>
  <c r="K207" i="35" s="1"/>
  <c r="H77" i="49" s="1"/>
  <c r="F40" i="49"/>
  <c r="F39" i="49"/>
  <c r="F41" i="49"/>
  <c r="J89" i="38"/>
  <c r="F38" i="49"/>
  <c r="F42" i="49"/>
  <c r="H23" i="38"/>
  <c r="H13" i="49" s="1"/>
  <c r="H38" i="49" s="1"/>
  <c r="I21" i="49"/>
  <c r="J37" i="38"/>
  <c r="J42" i="49" l="1"/>
  <c r="I84" i="49"/>
  <c r="I86" i="49"/>
  <c r="J107" i="49"/>
  <c r="K107" i="49"/>
  <c r="L107" i="49"/>
  <c r="I107" i="49"/>
  <c r="H107" i="49"/>
  <c r="I58" i="49"/>
  <c r="I13" i="49"/>
  <c r="I37" i="38"/>
  <c r="K225" i="35"/>
  <c r="K232" i="35" s="1"/>
  <c r="H65" i="38"/>
  <c r="H74" i="38" s="1"/>
  <c r="I83" i="49"/>
  <c r="K214" i="35"/>
  <c r="J39" i="49"/>
  <c r="J40" i="49"/>
  <c r="J41" i="49"/>
  <c r="H37" i="38"/>
  <c r="H58" i="49"/>
  <c r="I89" i="38"/>
  <c r="I22" i="49"/>
  <c r="H21" i="49"/>
  <c r="H86" i="49" s="1"/>
  <c r="I42" i="49" l="1"/>
  <c r="H84" i="49"/>
  <c r="J111" i="49"/>
  <c r="K111" i="49"/>
  <c r="L111" i="49"/>
  <c r="I111" i="49"/>
  <c r="H111" i="49"/>
  <c r="H83" i="49"/>
  <c r="I41" i="49"/>
  <c r="I39" i="49"/>
  <c r="I40" i="49"/>
  <c r="H89" i="38"/>
  <c r="F21" i="49"/>
  <c r="H22" i="49"/>
  <c r="F84" i="49" l="1"/>
  <c r="F86" i="49"/>
  <c r="F83" i="49"/>
  <c r="H42" i="49"/>
  <c r="H41" i="49"/>
  <c r="H40" i="49"/>
  <c r="H39" i="49"/>
  <c r="F22" i="49"/>
  <c r="F111" i="49"/>
  <c r="F46" i="38"/>
  <c r="F50" i="38" s="1"/>
  <c r="F67" i="49"/>
  <c r="F57" i="49" l="1"/>
  <c r="F59" i="49" s="1"/>
  <c r="F75" i="49"/>
  <c r="F98" i="38" l="1"/>
  <c r="F102" i="38" s="1"/>
  <c r="F14" i="49"/>
  <c r="F15" i="49" s="1"/>
  <c r="H66" i="39"/>
  <c r="H32" i="39"/>
  <c r="H36" i="39" s="1"/>
  <c r="H46" i="38"/>
  <c r="H50" i="38" s="1"/>
  <c r="H57" i="49" s="1"/>
  <c r="H59" i="49" s="1"/>
  <c r="H67" i="39" l="1"/>
  <c r="F82" i="49"/>
  <c r="F85" i="49"/>
  <c r="F106" i="49"/>
  <c r="F16" i="49"/>
  <c r="H17" i="40"/>
  <c r="H30" i="40" s="1"/>
  <c r="H48" i="40" s="1"/>
  <c r="I66" i="39"/>
  <c r="I46" i="38"/>
  <c r="I50" i="38" s="1"/>
  <c r="I57" i="49" s="1"/>
  <c r="I59" i="49" s="1"/>
  <c r="H67" i="49"/>
  <c r="F61" i="49"/>
  <c r="F64" i="49" s="1"/>
  <c r="I32" i="39"/>
  <c r="F49" i="49"/>
  <c r="H56" i="39"/>
  <c r="F45" i="49"/>
  <c r="I17" i="40" l="1"/>
  <c r="I30" i="40" s="1"/>
  <c r="I48" i="40" s="1"/>
  <c r="J66" i="39"/>
  <c r="K43" i="38"/>
  <c r="J46" i="38"/>
  <c r="J50" i="38" s="1"/>
  <c r="J57" i="49" s="1"/>
  <c r="J59" i="49" s="1"/>
  <c r="I36" i="39"/>
  <c r="I67" i="49"/>
  <c r="H22" i="39"/>
  <c r="H64" i="39"/>
  <c r="L43" i="38" l="1"/>
  <c r="L95" i="38"/>
  <c r="L98" i="38" s="1"/>
  <c r="H61" i="49"/>
  <c r="H49" i="49"/>
  <c r="H45" i="49"/>
  <c r="K95" i="38"/>
  <c r="K98" i="38" s="1"/>
  <c r="K102" i="38" s="1"/>
  <c r="K14" i="49"/>
  <c r="K15" i="49" s="1"/>
  <c r="K85" i="49" s="1"/>
  <c r="K41" i="49"/>
  <c r="H98" i="38"/>
  <c r="H102" i="38" s="1"/>
  <c r="H15" i="49"/>
  <c r="H85" i="49" s="1"/>
  <c r="J17" i="40"/>
  <c r="J30" i="40" s="1"/>
  <c r="J48" i="40" s="1"/>
  <c r="K66" i="39"/>
  <c r="I67" i="39"/>
  <c r="H23" i="39"/>
  <c r="J15" i="49"/>
  <c r="J85" i="49" s="1"/>
  <c r="K46" i="38"/>
  <c r="K50" i="38" s="1"/>
  <c r="J32" i="39"/>
  <c r="I38" i="49" s="1"/>
  <c r="I56" i="39"/>
  <c r="J67" i="49"/>
  <c r="J106" i="49" l="1"/>
  <c r="H106" i="49"/>
  <c r="K106" i="49"/>
  <c r="L106" i="49"/>
  <c r="L46" i="38"/>
  <c r="L50" i="38" s="1"/>
  <c r="L14" i="49"/>
  <c r="L15" i="49" s="1"/>
  <c r="L85" i="49" s="1"/>
  <c r="L41" i="49"/>
  <c r="K82" i="49"/>
  <c r="K16" i="49"/>
  <c r="K75" i="49"/>
  <c r="L66" i="39"/>
  <c r="K57" i="49"/>
  <c r="K59" i="49" s="1"/>
  <c r="H82" i="49"/>
  <c r="J82" i="49"/>
  <c r="I98" i="38"/>
  <c r="I102" i="38" s="1"/>
  <c r="I15" i="49"/>
  <c r="H75" i="49"/>
  <c r="H16" i="49"/>
  <c r="M66" i="39"/>
  <c r="K17" i="40"/>
  <c r="K30" i="40" s="1"/>
  <c r="K48" i="40" s="1"/>
  <c r="J98" i="38"/>
  <c r="J102" i="38" s="1"/>
  <c r="I22" i="39"/>
  <c r="I64" i="39"/>
  <c r="J16" i="49"/>
  <c r="J75" i="49"/>
  <c r="F53" i="49"/>
  <c r="H25" i="39"/>
  <c r="J36" i="39"/>
  <c r="I106" i="49" l="1"/>
  <c r="I85" i="49"/>
  <c r="L75" i="49"/>
  <c r="L82" i="49"/>
  <c r="L16" i="49"/>
  <c r="L17" i="40"/>
  <c r="L57" i="49"/>
  <c r="L59" i="49" s="1"/>
  <c r="H68" i="39"/>
  <c r="I49" i="49"/>
  <c r="I45" i="49"/>
  <c r="I61" i="49"/>
  <c r="I82" i="49"/>
  <c r="I75" i="49"/>
  <c r="I16" i="49"/>
  <c r="H64" i="49"/>
  <c r="J67" i="39"/>
  <c r="K32" i="39"/>
  <c r="J38" i="49" s="1"/>
  <c r="J56" i="39"/>
  <c r="F50" i="49"/>
  <c r="F51" i="49" s="1"/>
  <c r="F46" i="49"/>
  <c r="F47" i="49" s="1"/>
  <c r="F66" i="49"/>
  <c r="F68" i="49" s="1"/>
  <c r="H63" i="39"/>
  <c r="H11" i="40"/>
  <c r="H51" i="40" s="1"/>
  <c r="I23" i="39"/>
  <c r="H53" i="49" s="1"/>
  <c r="L30" i="40" l="1"/>
  <c r="L48" i="40" s="1"/>
  <c r="K36" i="39"/>
  <c r="I25" i="39"/>
  <c r="J22" i="39"/>
  <c r="J64" i="39"/>
  <c r="I68" i="39" l="1"/>
  <c r="H50" i="49"/>
  <c r="H46" i="49"/>
  <c r="J49" i="49"/>
  <c r="J45" i="49"/>
  <c r="J61" i="49"/>
  <c r="I64" i="49"/>
  <c r="K67" i="39"/>
  <c r="L32" i="39"/>
  <c r="K38" i="49" s="1"/>
  <c r="K56" i="39"/>
  <c r="I11" i="40"/>
  <c r="I51" i="40" s="1"/>
  <c r="H49" i="40"/>
  <c r="J23" i="39"/>
  <c r="I53" i="49" s="1"/>
  <c r="I63" i="39"/>
  <c r="L36" i="39" l="1"/>
  <c r="J25" i="39"/>
  <c r="K22" i="39"/>
  <c r="K64" i="39"/>
  <c r="J68" i="39" l="1"/>
  <c r="I50" i="49"/>
  <c r="I46" i="49"/>
  <c r="K61" i="49"/>
  <c r="K49" i="49"/>
  <c r="K45" i="49"/>
  <c r="J64" i="49"/>
  <c r="L67" i="39"/>
  <c r="I49" i="40"/>
  <c r="K23" i="39"/>
  <c r="J53" i="49" s="1"/>
  <c r="J11" i="40"/>
  <c r="J51" i="40" s="1"/>
  <c r="H47" i="49"/>
  <c r="H66" i="49"/>
  <c r="H68" i="49" s="1"/>
  <c r="H51" i="49"/>
  <c r="J63" i="39"/>
  <c r="L56" i="39"/>
  <c r="M32" i="39"/>
  <c r="L38" i="49" s="1"/>
  <c r="L22" i="39" l="1"/>
  <c r="J49" i="40" s="1"/>
  <c r="L64" i="39"/>
  <c r="M36" i="39"/>
  <c r="M67" i="39"/>
  <c r="K25" i="39"/>
  <c r="L45" i="49" l="1"/>
  <c r="L49" i="49"/>
  <c r="L61" i="49"/>
  <c r="K68" i="39"/>
  <c r="J50" i="49"/>
  <c r="J46" i="49"/>
  <c r="K64" i="49"/>
  <c r="M56" i="39"/>
  <c r="I51" i="49"/>
  <c r="I66" i="49"/>
  <c r="I68" i="49" s="1"/>
  <c r="I47" i="49"/>
  <c r="K63" i="39"/>
  <c r="K11" i="40"/>
  <c r="K51" i="40" s="1"/>
  <c r="L23" i="39"/>
  <c r="K53" i="49" s="1"/>
  <c r="L64" i="49" l="1"/>
  <c r="L25" i="39"/>
  <c r="M22" i="39"/>
  <c r="M64" i="39"/>
  <c r="L11" i="40" l="1"/>
  <c r="L51" i="40" s="1"/>
  <c r="L49" i="40"/>
  <c r="L68" i="39"/>
  <c r="K50" i="49"/>
  <c r="K46" i="49"/>
  <c r="K49" i="40"/>
  <c r="M23" i="39"/>
  <c r="L53" i="49" s="1"/>
  <c r="J51" i="49"/>
  <c r="J66" i="49"/>
  <c r="J68" i="49" s="1"/>
  <c r="J47" i="49"/>
  <c r="L63" i="39"/>
  <c r="M25" i="39" l="1"/>
  <c r="L50" i="49" l="1"/>
  <c r="L46" i="49"/>
  <c r="K51" i="49"/>
  <c r="K47" i="49"/>
  <c r="K66" i="49"/>
  <c r="K68" i="49" s="1"/>
  <c r="M68" i="39"/>
  <c r="M63" i="39"/>
  <c r="L47" i="49" l="1"/>
  <c r="L51" i="49"/>
  <c r="L66" i="49"/>
  <c r="L68"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23" authorId="0" shapeId="0" xr:uid="{00000000-0006-0000-0100-000001000000}">
      <text>
        <r>
          <rPr>
            <sz val="9"/>
            <color indexed="81"/>
            <rFont val="Tahoma"/>
            <family val="2"/>
          </rPr>
          <t xml:space="preserve">
Inclusief nieuwkomers korter dan 1 jaar op 1 okt. en met leerlingen VAVO TG die voor 0,5 tellen. </t>
        </r>
      </text>
    </comment>
    <comment ref="F31" authorId="0" shapeId="0" xr:uid="{00000000-0006-0000-0100-000002000000}">
      <text>
        <r>
          <rPr>
            <sz val="9"/>
            <color indexed="81"/>
            <rFont val="Tahoma"/>
            <family val="2"/>
          </rPr>
          <t xml:space="preserve">
Percentage t.o.v. totaal aantal leerlingen wordt o.b.v. telling 1 okt. 2012 gefixeerd en vanaf 1 okt. 2015 gebruikt voor budgettering SWV.</t>
        </r>
      </text>
    </comment>
    <comment ref="F32" authorId="0" shapeId="0" xr:uid="{00000000-0006-0000-0100-000003000000}">
      <text>
        <r>
          <rPr>
            <sz val="9"/>
            <color indexed="81"/>
            <rFont val="Tahoma"/>
            <family val="2"/>
          </rPr>
          <t xml:space="preserve">
Percentage t.o.v. totaal aantal leerlingen wordt o.b.v. telling 1 okt. 2012 gefixeerd en vanaf 1 okt. 2015 gebruikt voor budgettering SWV.</t>
        </r>
      </text>
    </comment>
    <comment ref="F33" authorId="0" shapeId="0" xr:uid="{00000000-0006-0000-0100-000004000000}">
      <text>
        <r>
          <rPr>
            <sz val="9"/>
            <color indexed="81"/>
            <rFont val="Tahoma"/>
            <family val="2"/>
          </rPr>
          <t xml:space="preserve">
Aantal wordt o.b.v. telling 1 okt. 2012 gefixeerd voor bepaling aantal ll lwoo en pro in latere jaren.</t>
        </r>
      </text>
    </comment>
    <comment ref="D45" authorId="0" shapeId="0" xr:uid="{00000000-0006-0000-0100-000005000000}">
      <text>
        <r>
          <rPr>
            <sz val="9"/>
            <color indexed="81"/>
            <rFont val="Tahoma"/>
            <family val="2"/>
          </rPr>
          <t xml:space="preserve">
Op landelijk niveau is er sprake van een stevige daling die veroorzaakt wordt doordat lwoo-leerlingen niet als zodanig meer geteld hoeven te worden bij opting out. Vanaf 2018 zijn lwoo- en pro-ll daarom samengevoegd.</t>
        </r>
      </text>
    </comment>
    <comment ref="D51" authorId="0" shapeId="0" xr:uid="{00000000-0006-0000-0100-000006000000}">
      <text>
        <r>
          <rPr>
            <sz val="9"/>
            <color indexed="81"/>
            <rFont val="Tahoma"/>
            <family val="2"/>
          </rPr>
          <t xml:space="preserve">
Ophalen uit Ofb van 2015-2016.</t>
        </r>
      </text>
    </comment>
    <comment ref="D52" authorId="0" shapeId="0" xr:uid="{00000000-0006-0000-0100-000007000000}">
      <text>
        <r>
          <rPr>
            <sz val="9"/>
            <color indexed="81"/>
            <rFont val="Tahoma"/>
            <family val="2"/>
          </rPr>
          <t xml:space="preserve">
Ophalen uit Ofb van 2015.</t>
        </r>
      </text>
    </comment>
    <comment ref="F66" authorId="0" shapeId="0" xr:uid="{00000000-0006-0000-0100-000008000000}">
      <text>
        <r>
          <rPr>
            <sz val="9"/>
            <color indexed="81"/>
            <rFont val="Tahoma"/>
            <family val="2"/>
          </rPr>
          <t xml:space="preserve">
1 staat voor categorie laag en de ondersteuningsbekostiging is afgeleid van de gemiddelde kosten ondersteuning van de schoolsoorten ZMLK, LZsomatisch en cluster 4.</t>
        </r>
      </text>
    </comment>
    <comment ref="F67" authorId="0" shapeId="0" xr:uid="{00000000-0006-0000-0100-000009000000}">
      <text>
        <r>
          <rPr>
            <sz val="9"/>
            <color indexed="81"/>
            <rFont val="Tahoma"/>
            <family val="2"/>
          </rPr>
          <t xml:space="preserve">
2 staat voor categorie middel en de ondersteuningsbekostiging is afgeleid van de gemiddelde kosten ondersteuning van de schoolsoort Lichamelijk gehandicapt (LG).</t>
        </r>
      </text>
    </comment>
    <comment ref="F68" authorId="0" shapeId="0" xr:uid="{00000000-0006-0000-0100-00000A000000}">
      <text>
        <r>
          <rPr>
            <sz val="9"/>
            <color indexed="81"/>
            <rFont val="Tahoma"/>
            <family val="2"/>
          </rPr>
          <t xml:space="preserve">
3 staat voor categorie hoog en de ondersteuningsbekostiging is afgeleid van de gemiddelde kosten ondersteuning van de schoolsoort Meervoudig Gehandicapt (MG) en betreft LG + ZMLK.</t>
        </r>
      </text>
    </comment>
    <comment ref="D75" authorId="0" shapeId="0" xr:uid="{00000000-0006-0000-0100-00000B000000}">
      <text>
        <r>
          <rPr>
            <sz val="9"/>
            <color indexed="81"/>
            <rFont val="Tahoma"/>
            <family val="2"/>
          </rPr>
          <t xml:space="preserve">
Laatst bekende deelname-percentage is opgegeven, ook voor de nog niet bekende jaren. </t>
        </r>
      </text>
    </comment>
    <comment ref="D97" authorId="0" shapeId="0" xr:uid="{00000000-0006-0000-0100-00000C000000}">
      <text>
        <r>
          <rPr>
            <sz val="9"/>
            <color indexed="81"/>
            <rFont val="Tahoma"/>
            <family val="2"/>
          </rPr>
          <t xml:space="preserve">
Het betreft hier het aantal leerlingen van de VSO-school dat uitsluitend aan dit samenwerkingsverband wordt toegerekend.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44" authorId="0" shapeId="0" xr:uid="{00000000-0006-0000-0E00-000001000000}">
      <text>
        <r>
          <rPr>
            <sz val="8"/>
            <color indexed="81"/>
            <rFont val="Tahoma"/>
            <family val="2"/>
          </rPr>
          <t xml:space="preserve">
de solvabiliteit geeft aan in welke verhouding de bezittingen op de activazijde van de balans, zijn gefinancieerd met eigen- en/of vreemd vermogen.  De solvabiliteit geeft inzicht in het vermogen van de school om aan haar verplichtingen op de lange termijn te voldoen.</t>
        </r>
      </text>
    </comment>
    <comment ref="D48" authorId="0" shapeId="0" xr:uid="{00000000-0006-0000-0E00-000002000000}">
      <text>
        <r>
          <rPr>
            <sz val="8"/>
            <color indexed="81"/>
            <rFont val="Tahoma"/>
            <family val="2"/>
          </rPr>
          <t xml:space="preserve">
de solvabiliteit geeft aan in welke verhouding de bezittingen op de activazijde van de balans incl. de voorzieningen, zijn gefinancieerd met eigen- en/of vreemd vermogen.  De solvabiliteit geeft inzicht in het vermogen van de school om aan haar verplichtingen op de lange termijn te voldoen.</t>
        </r>
      </text>
    </comment>
    <comment ref="D52" authorId="0" shapeId="0" xr:uid="{00000000-0006-0000-0E00-000003000000}">
      <text>
        <r>
          <rPr>
            <sz val="8"/>
            <color indexed="81"/>
            <rFont val="Tahoma"/>
            <family val="2"/>
          </rPr>
          <t xml:space="preserve">
de liquiditeit geeft inzicht in het vermogen van de school om aan haar verplichtingen op de korte termijn te voldoen.</t>
        </r>
      </text>
    </comment>
    <comment ref="D56" authorId="0" shapeId="0" xr:uid="{00000000-0006-0000-0E00-000004000000}">
      <text>
        <r>
          <rPr>
            <sz val="8"/>
            <color indexed="81"/>
            <rFont val="Tahoma"/>
            <family val="2"/>
          </rPr>
          <t xml:space="preserve">
de rentabiliteit geeft inzicht in de relatieve omvang van het resultaat. In hoeverre gaat er meer geld uit, dan er binnenkomt (zodat de reserves interen)</t>
        </r>
      </text>
    </comment>
    <comment ref="E56" authorId="0" shapeId="0" xr:uid="{00000000-0006-0000-0E00-000005000000}">
      <text>
        <r>
          <rPr>
            <sz val="9"/>
            <color indexed="81"/>
            <rFont val="Tahoma"/>
            <family val="2"/>
          </rPr>
          <t xml:space="preserve">
gemiddeld over 3 jaar</t>
        </r>
      </text>
    </comment>
    <comment ref="D60" authorId="0" shapeId="0" xr:uid="{00000000-0006-0000-0E00-000006000000}">
      <text>
        <r>
          <rPr>
            <sz val="8"/>
            <color indexed="81"/>
            <rFont val="Tahoma"/>
            <family val="2"/>
          </rPr>
          <t xml:space="preserve">
Dit percentage geeft inzicht in de capaciteit om onvoorziene tegenvallers in de exploitatie op te vangen (Ernst&amp;Young, juli 2004). Dit omvang van dit percentage is afhankelijk van: (1) kwaliteit planning &amp; controlcyclus, (2) de mate waarin risico's gezamenlijk worden gedragen (3) gesignaleerde risico's</t>
        </r>
      </text>
    </comment>
    <comment ref="E60" authorId="0" shapeId="0" xr:uid="{00000000-0006-0000-0E00-000007000000}">
      <text>
        <r>
          <rPr>
            <sz val="9"/>
            <color indexed="81"/>
            <rFont val="Tahoma"/>
            <family val="2"/>
          </rPr>
          <t xml:space="preserve">
Behalve het weerstandsvermogen is de kapitalisatiefactor (commissie Don) het kengetal dat ook door de inspectie wordt getoetst. Het oude begrip weerstandsvermogen in het VO vervult nog een nuttige functie  zolang de weerstandscapaciteit (commissie Don) nog niet in beeld is gebracht.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afweging voor de bepaling van de omvang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5" authorId="0" shapeId="0" xr:uid="{00000000-0006-0000-0E00-000008000000}">
      <text>
        <r>
          <rPr>
            <sz val="9"/>
            <color indexed="81"/>
            <rFont val="Tahoma"/>
            <family val="2"/>
          </rPr>
          <t xml:space="preserve">
Ook hierbij is de vraag naar de relevantie van dit kengetal voor een SWV aan de orde. Tzt zal hier nader naar gekeken moeten worden.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7" authorId="0" shapeId="0" xr:uid="{00000000-0006-0000-1000-000001000000}">
      <text>
        <r>
          <rPr>
            <sz val="10"/>
            <color indexed="81"/>
            <rFont val="Tahoma"/>
            <family val="2"/>
          </rPr>
          <t xml:space="preserve">
Personele bekostiging van € 81 (Stcrt 2018 nr. 52911, d.d. 21 sept. 2018).</t>
        </r>
      </text>
    </comment>
    <comment ref="D8" authorId="0" shapeId="0" xr:uid="{00000000-0006-0000-1000-000002000000}">
      <text>
        <r>
          <rPr>
            <sz val="10"/>
            <color indexed="81"/>
            <rFont val="Tahoma"/>
            <family val="2"/>
          </rPr>
          <t xml:space="preserve">
Materiële bekostiging € 14,50 (Stcrt 2018 nr. 52911, d.d. 21 sept. 2018). </t>
        </r>
      </text>
    </comment>
    <comment ref="D13" authorId="0" shapeId="0" xr:uid="{00000000-0006-0000-1000-000003000000}">
      <text>
        <r>
          <rPr>
            <sz val="9"/>
            <color indexed="81"/>
            <rFont val="Tahoma"/>
            <family val="2"/>
          </rPr>
          <t xml:space="preserve">
Stcrt. 2013, nr 34109, d.d. 8 dec 2013.</t>
        </r>
      </text>
    </comment>
    <comment ref="A24" authorId="0" shapeId="0" xr:uid="{00000000-0006-0000-1000-000004000000}">
      <text>
        <r>
          <rPr>
            <sz val="9"/>
            <color indexed="81"/>
            <rFont val="Tahoma"/>
            <family val="2"/>
          </rPr>
          <t xml:space="preserve">
Bedragen P niveau 20-21 en 21-22 en bedragen M niveau 2021, opgave OCW en Regeling bekostiging personeel PO van juli 2021 (Def) resp. juli 2021 (2e Reg).
Aanpassing MI in juli 2021 is 1,20%.</t>
        </r>
      </text>
    </comment>
    <comment ref="C26" authorId="0" shapeId="0" xr:uid="{00000000-0006-0000-1000-000005000000}">
      <text>
        <r>
          <rPr>
            <b/>
            <sz val="9"/>
            <color indexed="81"/>
            <rFont val="Tahoma"/>
            <family val="2"/>
          </rPr>
          <t xml:space="preserve">
</t>
        </r>
        <r>
          <rPr>
            <sz val="9"/>
            <color indexed="81"/>
            <rFont val="Tahoma"/>
            <family val="2"/>
          </rPr>
          <t>Bron Form Besl WVO art. 3a.
Stb 2014 nr 95, d.d. 6 maart 2014.</t>
        </r>
      </text>
    </comment>
    <comment ref="D44" authorId="0" shapeId="0" xr:uid="{00000000-0006-0000-1000-000006000000}">
      <text>
        <r>
          <rPr>
            <sz val="9"/>
            <color indexed="81"/>
            <rFont val="Tahoma"/>
            <family val="2"/>
          </rPr>
          <t xml:space="preserve">
Prijspeil aug. 2018.</t>
        </r>
      </text>
    </comment>
    <comment ref="E44" authorId="0" shapeId="0" xr:uid="{00000000-0006-0000-1000-000007000000}">
      <text>
        <r>
          <rPr>
            <sz val="9"/>
            <color indexed="81"/>
            <rFont val="Tahoma"/>
            <family val="2"/>
          </rPr>
          <t xml:space="preserve">
Def. Prijspeil sept. 2019.</t>
        </r>
      </text>
    </comment>
    <comment ref="F44" authorId="0" shapeId="0" xr:uid="{00000000-0006-0000-1000-000008000000}">
      <text>
        <r>
          <rPr>
            <sz val="9"/>
            <color indexed="81"/>
            <rFont val="Tahoma"/>
            <family val="2"/>
          </rPr>
          <t xml:space="preserve">
Def prijspeil juli 2020.</t>
        </r>
      </text>
    </comment>
    <comment ref="G44" authorId="0" shapeId="0" xr:uid="{00000000-0006-0000-1000-000009000000}">
      <text>
        <r>
          <rPr>
            <sz val="9"/>
            <color indexed="81"/>
            <rFont val="Tahoma"/>
            <family val="2"/>
          </rPr>
          <t xml:space="preserve">
Def prijspeil 6juli2021.</t>
        </r>
      </text>
    </comment>
    <comment ref="H44" authorId="0" shapeId="0" xr:uid="{C81E580A-CADC-4AB0-B454-AAB2242F07EE}">
      <text>
        <r>
          <rPr>
            <sz val="9"/>
            <color indexed="81"/>
            <rFont val="Tahoma"/>
            <family val="2"/>
          </rPr>
          <t xml:space="preserve">
2e Reg prijspeil 6juli2021.</t>
        </r>
      </text>
    </comment>
    <comment ref="J49" authorId="0" shapeId="0" xr:uid="{00000000-0006-0000-1000-00000A000000}">
      <text>
        <r>
          <rPr>
            <sz val="9"/>
            <color indexed="81"/>
            <rFont val="Tahoma"/>
            <family val="2"/>
          </rPr>
          <t xml:space="preserve">
Betreft indexering 2022 voor VSO materieel.</t>
        </r>
      </text>
    </comment>
    <comment ref="D54" authorId="0" shapeId="0" xr:uid="{00000000-0006-0000-1000-00000B000000}">
      <text>
        <r>
          <rPr>
            <sz val="9"/>
            <color indexed="81"/>
            <rFont val="Tahoma"/>
            <family val="2"/>
          </rPr>
          <t xml:space="preserve">
Definitieve bedragen 2017-2018 (aug. 2018).</t>
        </r>
      </text>
    </comment>
    <comment ref="E54" authorId="0" shapeId="0" xr:uid="{00000000-0006-0000-1000-00000C000000}">
      <text>
        <r>
          <rPr>
            <sz val="9"/>
            <color indexed="81"/>
            <rFont val="Tahoma"/>
            <family val="2"/>
          </rPr>
          <t xml:space="preserve">
Definitieve bedragen 2018-2019 (sept. 2019).</t>
        </r>
      </text>
    </comment>
    <comment ref="F54" authorId="0" shapeId="0" xr:uid="{00000000-0006-0000-1000-00000D000000}">
      <text>
        <r>
          <rPr>
            <sz val="9"/>
            <color indexed="81"/>
            <rFont val="Tahoma"/>
            <family val="2"/>
          </rPr>
          <t xml:space="preserve">
Def. Reg. bedragen 2019-2020 (16juli2020).</t>
        </r>
      </text>
    </comment>
    <comment ref="G54" authorId="0" shapeId="0" xr:uid="{00000000-0006-0000-1000-00000E000000}">
      <text>
        <r>
          <rPr>
            <sz val="9"/>
            <color indexed="81"/>
            <rFont val="Tahoma"/>
            <family val="2"/>
          </rPr>
          <t xml:space="preserve">
Def Reg. bedragen 2020-2021  (6 juli 2021).</t>
        </r>
      </text>
    </comment>
    <comment ref="H54" authorId="0" shapeId="0" xr:uid="{C3F059FF-2155-4B55-80DC-69036DC15A62}">
      <text>
        <r>
          <rPr>
            <sz val="9"/>
            <color indexed="81"/>
            <rFont val="Tahoma"/>
            <family val="2"/>
          </rPr>
          <t xml:space="preserve">
2e Reg. bedragen 2021-2022  (6 juli 2021).</t>
        </r>
      </text>
    </comment>
    <comment ref="A64" authorId="0" shapeId="0" xr:uid="{00000000-0006-0000-1000-00000F000000}">
      <text>
        <r>
          <rPr>
            <sz val="9"/>
            <color indexed="81"/>
            <rFont val="Tahoma"/>
            <family val="2"/>
          </rPr>
          <t xml:space="preserve">
Was gelijk aan het bedrag per leerling basisschool, maar is vanaf 19/20 extra verhoogd.</t>
        </r>
      </text>
    </comment>
    <comment ref="A69" authorId="0" shapeId="0" xr:uid="{00000000-0006-0000-1000-000011000000}">
      <text>
        <r>
          <rPr>
            <sz val="9"/>
            <color indexed="81"/>
            <rFont val="Tahoma"/>
            <family val="2"/>
          </rPr>
          <t xml:space="preserve">
In deze opgave WG-lasten zijn de hogere kosten als gevolg van de inkorting schalen, de schaaluitlooptoeslag en de hogere premies sociale zekerheid geraamd. Ieder bestuur dient op basis van historische gegevens de raming zelf te bepalen.
Daarom kan volstaan worden met één salaristabel. De kosten ziektevervanging en uitkeringskosten zijn hier </t>
        </r>
        <r>
          <rPr>
            <b/>
            <u/>
            <sz val="9"/>
            <color indexed="81"/>
            <rFont val="Tahoma"/>
            <family val="2"/>
          </rPr>
          <t>niet</t>
        </r>
        <r>
          <rPr>
            <sz val="9"/>
            <color indexed="81"/>
            <rFont val="Tahoma"/>
            <family val="2"/>
          </rPr>
          <t xml:space="preserve"> in verwerkt.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27" authorId="0" shapeId="0" xr:uid="{00000000-0006-0000-1100-000001000000}">
      <text>
        <r>
          <rPr>
            <sz val="9"/>
            <color indexed="81"/>
            <rFont val="Tahoma"/>
            <family val="2"/>
          </rPr>
          <t xml:space="preserve">
Minimumloon per 1 juli 2018 is 1594,20 euro.</t>
        </r>
      </text>
    </comment>
    <comment ref="B111" authorId="0" shapeId="0" xr:uid="{00000000-0006-0000-1100-000002000000}">
      <text>
        <r>
          <rPr>
            <sz val="9"/>
            <color indexed="81"/>
            <rFont val="Tahoma"/>
            <family val="2"/>
          </rPr>
          <t xml:space="preserve">
Aanloopschalen a1 en a2 achterwege gelaten. Aanpassing min. loon per 1-7-2020 zorgt dat de aanloopschalen dan tenminste 1680,00 zijn. </t>
        </r>
      </text>
    </comment>
    <comment ref="B167" authorId="0" shapeId="0" xr:uid="{E974F600-F5FC-4A7B-8B11-2D199DED03CF}">
      <text>
        <r>
          <rPr>
            <sz val="9"/>
            <color indexed="81"/>
            <rFont val="Tahoma"/>
            <family val="2"/>
          </rPr>
          <t xml:space="preserve">
Met min. loon € 1.701,00 per 1-1-2021.</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32" authorId="0" shapeId="0" xr:uid="{00000000-0006-0000-1400-000001000000}">
      <text>
        <r>
          <rPr>
            <sz val="9"/>
            <color indexed="81"/>
            <rFont val="Tahoma"/>
            <family val="2"/>
          </rPr>
          <t xml:space="preserve">
Excl. kosten vervanging en uitkeringslasten van gemiddeld ongeveer 6%.</t>
        </r>
      </text>
    </comment>
    <comment ref="D42" authorId="0" shapeId="0" xr:uid="{00000000-0006-0000-1400-000002000000}">
      <text>
        <r>
          <rPr>
            <sz val="9"/>
            <color indexed="81"/>
            <rFont val="Tahoma"/>
            <family val="2"/>
          </rPr>
          <t xml:space="preserve">
Excl. kosten vervanging en uitkeringslasten van gemiddeld ongeveer 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22" authorId="0" shapeId="0" xr:uid="{00000000-0006-0000-0200-000001000000}">
      <text>
        <r>
          <rPr>
            <sz val="9"/>
            <color indexed="81"/>
            <rFont val="Tahoma"/>
            <family val="2"/>
          </rPr>
          <t xml:space="preserve">
Dit betreft alle besturen in het SWV, ook die van het VSO.</t>
        </r>
      </text>
    </comment>
    <comment ref="D37" authorId="0" shapeId="0" xr:uid="{00000000-0006-0000-0200-000002000000}">
      <text>
        <r>
          <rPr>
            <sz val="9"/>
            <color indexed="81"/>
            <rFont val="Tahoma"/>
            <family val="2"/>
          </rPr>
          <t xml:space="preserve">
Dit betreft alle besturen in het SWV, ook die van het VSO.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38" authorId="0" shapeId="0" xr:uid="{00000000-0006-0000-0300-000001000000}">
      <text>
        <r>
          <rPr>
            <sz val="9"/>
            <color indexed="81"/>
            <rFont val="Tahoma"/>
            <family val="2"/>
          </rPr>
          <t xml:space="preserve">
Berekening naar schooljaar zie rij 226 t/m 235.</t>
        </r>
      </text>
    </comment>
    <comment ref="H38" authorId="0" shapeId="0" xr:uid="{00000000-0006-0000-0300-000002000000}">
      <text>
        <r>
          <rPr>
            <sz val="9"/>
            <color indexed="81"/>
            <rFont val="Tahoma"/>
            <family val="2"/>
          </rPr>
          <t xml:space="preserve">
Komt overeen met 7/12e van 2019/20 plus 5/12e van 2020/21.</t>
        </r>
      </text>
    </comment>
    <comment ref="D143" authorId="0" shapeId="0" xr:uid="{00000000-0006-0000-0300-000003000000}">
      <text>
        <r>
          <rPr>
            <sz val="9"/>
            <color indexed="81"/>
            <rFont val="Tahoma"/>
            <family val="2"/>
          </rPr>
          <t xml:space="preserve">
Vul hier de uitkomst in die verkregen wordt uit de Kijkdoos SWV VO voor kalenderjaar 2019 resp. 2020. Dat is 7/12e schooljaar T-1/T plus 5/12 schooljaar T/T+1. Maak een raming voor de daaropvolgende jaren.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44" authorId="0" shapeId="0" xr:uid="{00000000-0006-0000-0400-000001000000}">
      <text>
        <r>
          <rPr>
            <sz val="9"/>
            <color indexed="81"/>
            <rFont val="Tahoma"/>
            <family val="2"/>
          </rPr>
          <t xml:space="preserve">
De ondersteuningsbekostiging van categorie 1 (laag) is afgeleid van de gemiddelde kosten ondersteuning van de schoolsoorten ZMLK, LZsomatisch en cluster 4.</t>
        </r>
      </text>
    </comment>
    <comment ref="F45" authorId="0" shapeId="0" xr:uid="{00000000-0006-0000-0400-000002000000}">
      <text>
        <r>
          <rPr>
            <sz val="9"/>
            <color indexed="81"/>
            <rFont val="Tahoma"/>
            <family val="2"/>
          </rPr>
          <t xml:space="preserve">
De ondersteuningsbekostiging van categorie 2 (middel) is afgeleid van de gemiddelde kosten ondersteuning van de schoolsoort Lichamelijk gehandicapt (LG).</t>
        </r>
      </text>
    </comment>
    <comment ref="F46" authorId="0" shapeId="0" xr:uid="{00000000-0006-0000-0400-000003000000}">
      <text>
        <r>
          <rPr>
            <sz val="9"/>
            <color indexed="81"/>
            <rFont val="Tahoma"/>
            <family val="2"/>
          </rPr>
          <t xml:space="preserve">
De ondersteuningsbekostiging van categorie 3 (hoog) is afgeleid van de gemiddelde kosten ondersteuning van de schoolsoort Meervoudig Gehandicapt (MG) en betreft LG + ZMLK.</t>
        </r>
      </text>
    </comment>
    <comment ref="F160" authorId="0" shapeId="0" xr:uid="{00000000-0006-0000-0400-000004000000}">
      <text>
        <r>
          <rPr>
            <sz val="9"/>
            <color indexed="81"/>
            <rFont val="Tahoma"/>
            <family val="2"/>
          </rPr>
          <t xml:space="preserve">
De ondersteuningsbekostiging van categorie 1 (laag) is afgeleid van de gemiddelde kosten ondersteuning van de schoolsoorten ZMLK, LZsomatisch en cluster 4.</t>
        </r>
      </text>
    </comment>
    <comment ref="F161" authorId="0" shapeId="0" xr:uid="{00000000-0006-0000-0400-000005000000}">
      <text>
        <r>
          <rPr>
            <sz val="9"/>
            <color indexed="81"/>
            <rFont val="Tahoma"/>
            <family val="2"/>
          </rPr>
          <t xml:space="preserve">
De ondersteuningsbekostiging van categorie 2 (middel) is afgeleid van de gemiddelde kosten ondersteuning van de schoolsoort Lichamelijk gehandicapt (LG).</t>
        </r>
      </text>
    </comment>
    <comment ref="F162" authorId="0" shapeId="0" xr:uid="{00000000-0006-0000-0400-000006000000}">
      <text>
        <r>
          <rPr>
            <sz val="9"/>
            <color indexed="81"/>
            <rFont val="Tahoma"/>
            <family val="2"/>
          </rPr>
          <t xml:space="preserve">
De ondersteuningsbekostiging van categorie 3 (hoog) is afgeleid van de gemiddelde kosten ondersteuning van de schoolsoort Meervoudig Gehandicapt (MG) en betreft LG + ZMLK.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13" authorId="0" shapeId="0" xr:uid="{00000000-0006-0000-0500-000001000000}">
      <text>
        <r>
          <rPr>
            <sz val="9"/>
            <color indexed="81"/>
            <rFont val="Tahoma"/>
            <family val="2"/>
          </rPr>
          <t xml:space="preserve">
Hier wordt het bedrag overgenomen dat ingevuld is in het werkblad 'pers' in rij 143 waar de uitkomst is opgenomen voor 2019resp. 2020 uit de Kijkdoos SWV VO voor 2019/20 resp. 2020/21  met een raming voor de daaropvolgende jaren.</t>
        </r>
      </text>
    </comment>
    <comment ref="E19" authorId="0" shapeId="0" xr:uid="{00000000-0006-0000-0500-00000200000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 ref="E26" authorId="0" shapeId="0" xr:uid="{00000000-0006-0000-0500-000003000000}">
      <text>
        <r>
          <rPr>
            <sz val="9"/>
            <color indexed="81"/>
            <rFont val="Tahoma"/>
            <family val="2"/>
          </rPr>
          <t xml:space="preserve">
Hier wordt het bedrag overgenomen dat ingevuld is in het werkblad 'mat' waar de uitkomst is opgenomen uit de Kijkdoos SWV VO voor kalenderjaar 2019 resp. 2020 met een raming voor de daaropvolgende jaren.</t>
        </r>
      </text>
    </comment>
    <comment ref="E32" authorId="0" shapeId="0" xr:uid="{00000000-0006-0000-0500-000004000000}">
      <text>
        <r>
          <rPr>
            <sz val="8"/>
            <color indexed="81"/>
            <rFont val="Tahoma"/>
            <family val="2"/>
          </rPr>
          <t xml:space="preserve">
Deze bijdrage laat het totaal zien van de bijdragen van de afzonderlijke besturen voor de ZO. Deels is dit al geïnd door DUO. Wanneer nog een positief bedrag resteert betekent dit dat het SWV dit bedrag per leerling moet innen bij de deelnemende schoolbesturen met leerlingen in het SWV.</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Q13" authorId="0" shapeId="0" xr:uid="{00000000-0006-0000-0600-000001000000}">
      <text>
        <r>
          <rPr>
            <sz val="9"/>
            <color indexed="81"/>
            <rFont val="Tahoma"/>
            <family val="2"/>
          </rPr>
          <t xml:space="preserve">
Over dit verlof moet de WG wel pensioenpremie betalen. Ook de WN moet pensioenpremie betalen.</t>
        </r>
      </text>
    </comment>
    <comment ref="T13" authorId="0" shapeId="0" xr:uid="{00000000-0006-0000-0600-000002000000}">
      <text>
        <r>
          <rPr>
            <sz val="9"/>
            <color indexed="81"/>
            <rFont val="Tahoma"/>
            <family val="2"/>
          </rPr>
          <t xml:space="preserve">
Dit is globaal berekend de te betalen WG-premie ABP.</t>
        </r>
      </text>
    </comment>
    <comment ref="Q45" authorId="0" shapeId="0" xr:uid="{00000000-0006-0000-0600-000003000000}">
      <text>
        <r>
          <rPr>
            <sz val="9"/>
            <color indexed="81"/>
            <rFont val="Tahoma"/>
            <family val="2"/>
          </rPr>
          <t xml:space="preserve">
Over dit verlof moet de WG wel pensioenpremie betalen. Ook de WN moet pensioenpremie betalen.</t>
        </r>
      </text>
    </comment>
    <comment ref="T45" authorId="0" shapeId="0" xr:uid="{00000000-0006-0000-0600-000004000000}">
      <text>
        <r>
          <rPr>
            <sz val="9"/>
            <color indexed="81"/>
            <rFont val="Tahoma"/>
            <family val="2"/>
          </rPr>
          <t xml:space="preserve">
Dit is globaal berekend de te betalen WG-premie ABP.</t>
        </r>
      </text>
    </comment>
    <comment ref="Q77" authorId="0" shapeId="0" xr:uid="{00000000-0006-0000-0600-000005000000}">
      <text>
        <r>
          <rPr>
            <sz val="9"/>
            <color indexed="81"/>
            <rFont val="Tahoma"/>
            <family val="2"/>
          </rPr>
          <t xml:space="preserve">
Over dit verlof moet de WG wel pensioenpremie betalen. Ook de WN moet pensioenpremie betalen.</t>
        </r>
      </text>
    </comment>
    <comment ref="T77" authorId="0" shapeId="0" xr:uid="{00000000-0006-0000-0600-000006000000}">
      <text>
        <r>
          <rPr>
            <sz val="9"/>
            <color indexed="81"/>
            <rFont val="Tahoma"/>
            <family val="2"/>
          </rPr>
          <t xml:space="preserve">
Dit is globaal berekend de te betalen WG-premie ABP.</t>
        </r>
      </text>
    </comment>
    <comment ref="Q109" authorId="0" shapeId="0" xr:uid="{00000000-0006-0000-0600-000007000000}">
      <text>
        <r>
          <rPr>
            <sz val="9"/>
            <color indexed="81"/>
            <rFont val="Tahoma"/>
            <family val="2"/>
          </rPr>
          <t xml:space="preserve">
Over dit verlof moet de WG wel pensioenpremie betalen. Ook de WN moet pensioenpremie betalen.</t>
        </r>
      </text>
    </comment>
    <comment ref="T109" authorId="0" shapeId="0" xr:uid="{00000000-0006-0000-0600-000008000000}">
      <text>
        <r>
          <rPr>
            <sz val="9"/>
            <color indexed="81"/>
            <rFont val="Tahoma"/>
            <family val="2"/>
          </rPr>
          <t xml:space="preserve">
Dit is globaal berekend de te betalen WG-premie ABP.</t>
        </r>
      </text>
    </comment>
    <comment ref="Q141" authorId="0" shapeId="0" xr:uid="{00000000-0006-0000-0600-000009000000}">
      <text>
        <r>
          <rPr>
            <sz val="9"/>
            <color indexed="81"/>
            <rFont val="Tahoma"/>
            <family val="2"/>
          </rPr>
          <t xml:space="preserve">
Over dit verlof moet de WG wel pensioenpremie betalen. Ook de WN moet pensioenpremie betalen.</t>
        </r>
      </text>
    </comment>
    <comment ref="T141" authorId="0" shapeId="0" xr:uid="{00000000-0006-0000-0600-00000A000000}">
      <text>
        <r>
          <rPr>
            <sz val="9"/>
            <color indexed="81"/>
            <rFont val="Tahoma"/>
            <family val="2"/>
          </rPr>
          <t xml:space="preserve">
Dit is globaal berekend de te betalen WG-premie ABP.</t>
        </r>
      </text>
    </comment>
    <comment ref="Q173" authorId="0" shapeId="0" xr:uid="{00000000-0006-0000-0600-00000B000000}">
      <text>
        <r>
          <rPr>
            <sz val="9"/>
            <color indexed="81"/>
            <rFont val="Tahoma"/>
            <family val="2"/>
          </rPr>
          <t xml:space="preserve">
Over dit verlof moet de WG wel pensioenpremie betalen. Ook de WN moet pensioenpremie betalen.</t>
        </r>
      </text>
    </comment>
    <comment ref="T173" authorId="0" shapeId="0" xr:uid="{00000000-0006-0000-0600-00000C000000}">
      <text>
        <r>
          <rPr>
            <sz val="9"/>
            <color indexed="81"/>
            <rFont val="Tahoma"/>
            <family val="2"/>
          </rPr>
          <t xml:space="preserve">
Dit is globaal berekend de te betalen WG-premie ABP.</t>
        </r>
      </text>
    </comment>
    <comment ref="Q205" authorId="0" shapeId="0" xr:uid="{00000000-0006-0000-0600-00000D000000}">
      <text>
        <r>
          <rPr>
            <sz val="9"/>
            <color indexed="81"/>
            <rFont val="Tahoma"/>
            <family val="2"/>
          </rPr>
          <t xml:space="preserve">
Over dit verlof moet de WG wel pensioenpremie betalen. Ook de WN moet pensioenpremie betalen.</t>
        </r>
      </text>
    </comment>
    <comment ref="T205" authorId="0" shapeId="0" xr:uid="{00000000-0006-0000-0600-00000E000000}">
      <text>
        <r>
          <rPr>
            <sz val="9"/>
            <color indexed="81"/>
            <rFont val="Tahoma"/>
            <family val="2"/>
          </rPr>
          <t xml:space="preserve">
Dit is globaal berekend de te betalen WG-premie ABP.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155" authorId="0" shapeId="0" xr:uid="{00000000-0006-0000-0700-000001000000}">
      <text>
        <r>
          <rPr>
            <sz val="9"/>
            <color indexed="81"/>
            <rFont val="Tahoma"/>
            <family val="2"/>
          </rPr>
          <t xml:space="preserve">
Zie voor berekening werkblad 'overdracht VSO'.</t>
        </r>
      </text>
    </comment>
    <comment ref="D156" authorId="0" shapeId="0" xr:uid="{00000000-0006-0000-0700-000002000000}">
      <text>
        <r>
          <rPr>
            <sz val="9"/>
            <color indexed="81"/>
            <rFont val="Tahoma"/>
            <family val="2"/>
          </rPr>
          <t xml:space="preserve">
Vul hier de uitkomst in die verkregen wordt uit de Kijkdoos SWV VO voor kalenderjaar 2019 resp. 2020. Maak een raming voor de daaropvolgende jaren.</t>
        </r>
      </text>
    </comment>
    <comment ref="O218" authorId="0" shapeId="0" xr:uid="{00000000-0006-0000-0700-000003000000}">
      <text>
        <r>
          <rPr>
            <sz val="9"/>
            <color indexed="81"/>
            <rFont val="Tahoma"/>
            <family val="2"/>
          </rPr>
          <t xml:space="preserve">
Omdat de gegevens van het laatste kalenderjaar  ontbreken zijn de bedragen van dit schooljaar gelijk gesteld aan het laatst beschikbare kalenderjaar.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8" authorId="0" shapeId="0" xr:uid="{00000000-0006-0000-0900-000001000000}">
      <text>
        <r>
          <rPr>
            <sz val="8"/>
            <color indexed="81"/>
            <rFont val="Tahoma"/>
            <family val="2"/>
          </rPr>
          <t xml:space="preserve">
hoeft niet te worden ingevuld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66" authorId="0" shapeId="0" xr:uid="{00000000-0006-0000-0C00-000001000000}">
      <text>
        <r>
          <rPr>
            <sz val="9"/>
            <color indexed="81"/>
            <rFont val="Tahoma"/>
            <family val="2"/>
          </rPr>
          <t xml:space="preserve">
gemiddeld over 3 jaar</t>
        </r>
      </text>
    </comment>
    <comment ref="E67" authorId="0" shapeId="0" xr:uid="{00000000-0006-0000-0C00-000002000000}">
      <text>
        <r>
          <rPr>
            <sz val="9"/>
            <color indexed="81"/>
            <rFont val="Tahoma"/>
            <family val="2"/>
          </rPr>
          <t xml:space="preserve">
Voor het voortgezet onderwijs werd veelal de volgende definitie gehanteerd: (Eigen vermogen)/ Totale lasten. De streefwaarde bij dit kengetal is afhankelijk van het risicoprofiel van de organisatie, maar zou tenminste  5% moeten zijn. 
De situatie van een SWV Passend Onderwijs is echter volledig anders dan die van een VO-school. Zo heeft een SWV veelal weinig personeel in eigen dienst. Daarom zal voor het SWV een nieuwe afweging voor de bepaling van de omvang  van het weerstandsvermogen ontwikkeld moeten worden.  
Voor het bepalen van de buffer van een SWV moet goed gekeken worden naar de specifieke situatie van het SWV (bijvoorbeeld: afspraken die gemaakt zijn met derden over inhuur personeel), de risico's zouden daarvan moeten worden ingeschat en op basis daarvan kan een buffervermogen bepaald worden voor dat specifieke SWV. Dit vereist dus een nadere analyse.</t>
        </r>
      </text>
    </comment>
    <comment ref="E68" authorId="0" shapeId="0" xr:uid="{00000000-0006-0000-0C00-000003000000}">
      <text>
        <r>
          <rPr>
            <sz val="9"/>
            <color indexed="81"/>
            <rFont val="Tahoma"/>
            <family val="2"/>
          </rPr>
          <t xml:space="preserve">
Ook hierbij is de vraag naar de relevantie van dit kengetal voor een SWV aan de orde. Tzt zal hier nader naar gekeken moeten worden.</t>
        </r>
      </text>
    </comment>
  </commentList>
</comments>
</file>

<file path=xl/sharedStrings.xml><?xml version="1.0" encoding="utf-8"?>
<sst xmlns="http://schemas.openxmlformats.org/spreadsheetml/2006/main" count="2128" uniqueCount="968">
  <si>
    <t>fte</t>
  </si>
  <si>
    <t xml:space="preserve">WEC de gpl bedragen </t>
  </si>
  <si>
    <t>prijspeil</t>
  </si>
  <si>
    <t>Toeslag directie</t>
  </si>
  <si>
    <t xml:space="preserve">OOP </t>
  </si>
  <si>
    <t>OP leeftijdsgecorrigeerd : voet</t>
  </si>
  <si>
    <t>OP leeftijdsgecorrigeerd : bedrag * GGL</t>
  </si>
  <si>
    <t>over te dragen Pers</t>
  </si>
  <si>
    <t>over te dragen Mat</t>
  </si>
  <si>
    <t>bijdrage besturen Pers</t>
  </si>
  <si>
    <t>bekostiging Mat aan SWV voor ZO</t>
  </si>
  <si>
    <t>bijdrage besturen Mat</t>
  </si>
  <si>
    <t xml:space="preserve">De kosten van personeelsleden - niet aangesteld bij het SWV - moeten geraamd worden. Het betreft dan werknemers die in dienst zijn bij een </t>
  </si>
  <si>
    <t>De kosten van personeel aangesteld bij het SWV worden in het werkblad loon SWV berekend en verwerkt.</t>
  </si>
  <si>
    <t>geeft de berekening van het personele budget ZO dat - per school berekend - naar het samenwerkingsverband gaat.</t>
  </si>
  <si>
    <t xml:space="preserve"> </t>
  </si>
  <si>
    <t>2020/21</t>
  </si>
  <si>
    <t>Overdrachtsverplichting personeel via DUO 1 okt T-1</t>
  </si>
  <si>
    <t>Overdrachtsverplichting materieel via DUO 1 okt T-1</t>
  </si>
  <si>
    <t xml:space="preserve">Rijksbijdragen OCW </t>
  </si>
  <si>
    <t xml:space="preserve">Personele lasten </t>
  </si>
  <si>
    <t>lichte ondersteuning</t>
  </si>
  <si>
    <t>zware ondersteuning</t>
  </si>
  <si>
    <t>PERSONEEL SAMENWERKINGSVERBAND</t>
  </si>
  <si>
    <t>Categorie</t>
  </si>
  <si>
    <t>baten en lasten steeds zo weergegeven en verwerkt dat het mogelijk is de ontwikkeling van de lichte en de zware ondersteuning afzonderlijk te volgen.</t>
  </si>
  <si>
    <t xml:space="preserve">Het beperkt zich tot alleen de begroting van het samenwerkingsverband. </t>
  </si>
  <si>
    <t xml:space="preserve">De hierna volgende toelichting bij de werkbladen heeft betrekking op de werkbladen met veelal het onderscheid Lichte Ondersteuning (LO) resp.  </t>
  </si>
  <si>
    <t>bekostiging SWV voor ZO voor Pers</t>
  </si>
  <si>
    <t>Zware Ondersteuning (ZO).</t>
  </si>
  <si>
    <t xml:space="preserve">Werkblad 'pers' </t>
  </si>
  <si>
    <t xml:space="preserve">Werkblad 'mat' </t>
  </si>
  <si>
    <t>Werkblad 'mip'</t>
  </si>
  <si>
    <t>Werkblad 'act'</t>
  </si>
  <si>
    <t>gegevens uit het meerjareninvesteringsplan (werkblad 'mip') automatisch verwerkt, evenals de afschrijvingsbedragen.</t>
  </si>
  <si>
    <t>Werkblad 'begr'</t>
  </si>
  <si>
    <t>Werkblad 'hlpbl' (verborgen)</t>
  </si>
  <si>
    <t xml:space="preserve">werkbladen. Alleen de gegevens omtrent de financiële baten en lasten moeten nog worden opgegeven. </t>
  </si>
  <si>
    <t>Werkblad 'bal'</t>
  </si>
  <si>
    <t>Werkblad 'liq'</t>
  </si>
  <si>
    <t>Daarnaast is het nodig om een liquiditeitenplanning te maken van maand tot maand zodat duidelijk is dat er altijd voldoende geld beschikbaar is.</t>
  </si>
  <si>
    <t>Lichte ondersteuning</t>
  </si>
  <si>
    <t>Zware ondersteuning</t>
  </si>
  <si>
    <t>BEGROTING SAMENWERKINGSVERBAND</t>
  </si>
  <si>
    <t>al dan niet in het verband deelnemend bevoegd gezag of op een andere wijze ingeschakeld worden. Daarvoor is dit hulpblad bedoeld.</t>
  </si>
  <si>
    <t>MATERIEEL SAMENWERKINGSVERBAND</t>
  </si>
  <si>
    <t>MEERJARENINVESTERINGSPLAN SAMENWERKINGSVERBAND</t>
  </si>
  <si>
    <t>ACTIVAOVERZICHT SAMENWERKINGSVERBAND</t>
  </si>
  <si>
    <t>MEERJARENBALANS SAMENWERKINGSVERBAND</t>
  </si>
  <si>
    <t>KASSTROOMOVERZICHT SAMENWERKINGSVERBAND</t>
  </si>
  <si>
    <t>bijdrage besturen Pers en Mat op schooljaarbasis</t>
  </si>
  <si>
    <t>bijdrage besturen Pers en Mat op kalenderjaarbasis</t>
  </si>
  <si>
    <t>LB = 1,00</t>
  </si>
  <si>
    <t>Verhoudingstabel</t>
  </si>
  <si>
    <t>Werktijdfactor</t>
  </si>
  <si>
    <t>Functie</t>
  </si>
  <si>
    <t>Gem Pers Last</t>
  </si>
  <si>
    <t>Naam werknemer</t>
  </si>
  <si>
    <t>P. Werknemer</t>
  </si>
  <si>
    <t>regel</t>
  </si>
  <si>
    <t>norm maandsalaris</t>
  </si>
  <si>
    <t>wtf x maandsalaris</t>
  </si>
  <si>
    <t>Opslagpercentage werkgeverslasten</t>
  </si>
  <si>
    <t>Ook de Balans volgt de indeling conform de voorschriften voor de jaarrekening.</t>
  </si>
  <si>
    <t>Een dergelijke raming van kosten kan heel gedetailleerd (en tijdrovend) gebeuren, maar men kan ook een meer globale benadering kiezen.</t>
  </si>
  <si>
    <t xml:space="preserve">Het is sterk af te raden om loonkosten bij het samenwerkingsverband te laten declareren. Een duidelijke afspraak van te voren over de te betalen </t>
  </si>
  <si>
    <t>kosten geeft beide partijen duidelijkheid en zekerheid.</t>
  </si>
  <si>
    <t>Het werkblad geeft ook een overzicht van hetgeen is ingevuld als meerjareninvestering, de activa en de afschrijvingen.</t>
  </si>
  <si>
    <t>Werkblad 'toelichting'</t>
  </si>
  <si>
    <t xml:space="preserve">Geadviseerd wordt om kritisch te zijn ten aanzien van de omvang van de algemene reserve en slechts een omvang aan te houden die </t>
  </si>
  <si>
    <t>Administratienummer</t>
  </si>
  <si>
    <t>totaal</t>
  </si>
  <si>
    <t>Algemeen</t>
  </si>
  <si>
    <t>Wellicht overbodig te zeggen dat het verstandig is een beveiligd exemplaar achter de hand te houden.</t>
  </si>
  <si>
    <t>in Excel te veranderen.</t>
  </si>
  <si>
    <t>Bevat de toelichting zoals hiervoor is weergegeven.</t>
  </si>
  <si>
    <t>Directie</t>
  </si>
  <si>
    <t>OP (landelijk)</t>
  </si>
  <si>
    <t>Landelijke GGL =</t>
  </si>
  <si>
    <t>DA</t>
  </si>
  <si>
    <t>DB</t>
  </si>
  <si>
    <t>DBuit</t>
  </si>
  <si>
    <t>DC</t>
  </si>
  <si>
    <t>DCuit</t>
  </si>
  <si>
    <t>DD</t>
  </si>
  <si>
    <t>DE</t>
  </si>
  <si>
    <t>LB</t>
  </si>
  <si>
    <t>LC</t>
  </si>
  <si>
    <t>LD</t>
  </si>
  <si>
    <t>LE</t>
  </si>
  <si>
    <t>LIOa</t>
  </si>
  <si>
    <t>schaal</t>
  </si>
  <si>
    <t>Rijksbijdragen OCW</t>
  </si>
  <si>
    <t>Overige subsidies OCW</t>
  </si>
  <si>
    <t>Overige baten</t>
  </si>
  <si>
    <t>Afschrijvingen</t>
  </si>
  <si>
    <t>Huisvestingslasten</t>
  </si>
  <si>
    <t>Leermiddelen</t>
  </si>
  <si>
    <t>Financiële baten</t>
  </si>
  <si>
    <t>Financiële lasten</t>
  </si>
  <si>
    <t>Vaste activa</t>
  </si>
  <si>
    <t>Gebouwen en terreinen</t>
  </si>
  <si>
    <t>2021/22</t>
  </si>
  <si>
    <t>Inventaris en apparatuur</t>
  </si>
  <si>
    <t>Overige materiële vaste activa</t>
  </si>
  <si>
    <t>Vlottende activa</t>
  </si>
  <si>
    <t>Lokaal onderwijsbeleid</t>
  </si>
  <si>
    <t>Het is mogelijk de beveiliging op te heffen zodat iemand met verstand van Excel de applicatie kan aanpassen.</t>
  </si>
  <si>
    <t xml:space="preserve">Voor zo'n globalere benadering kan men de raming voor kleine betrekkingen (bijvoorbeeld minder dan 0,25 fte) baseren op de GPL die </t>
  </si>
  <si>
    <t>Is gekozen voor een bepaalde omvang dan kan men hier snel berekenen wat de kosten op basis van de GPL van de functie LB wordt.</t>
  </si>
  <si>
    <t xml:space="preserve">Voor andere functies dan de functie LB vindt omrekening plaats m.b.v. een omrekentabel die gebaseerd is de verhoudingen van het </t>
  </si>
  <si>
    <t>Er is ook de mogelijkheid om de berekening gedetailleerd te maken waarbij de schaal en regelnummer precies wordt ingevoerd. Daarbij</t>
  </si>
  <si>
    <t>Het advies is om op een 'normale' wijze om te gaan met de vaststelling van deze kosten, namelijk door middel van overleg en onderhandeling.</t>
  </si>
  <si>
    <t xml:space="preserve">Op basis van de ingevoerde gegevens zijn de berekeningen uitgevoerd en kunnen bij de overige posten de verdere gegevens worden </t>
  </si>
  <si>
    <t>Reacties</t>
  </si>
  <si>
    <t xml:space="preserve">Voor reacties op dit programma houden we ons aanbevolen. </t>
  </si>
  <si>
    <t>ID1</t>
  </si>
  <si>
    <t>ID2</t>
  </si>
  <si>
    <t>ID3</t>
  </si>
  <si>
    <t>schooljaar</t>
  </si>
  <si>
    <t>situatie per</t>
  </si>
  <si>
    <t xml:space="preserve">Persoonsgegevens </t>
  </si>
  <si>
    <t>sofinr.</t>
  </si>
  <si>
    <t>naam</t>
  </si>
  <si>
    <t>functie</t>
  </si>
  <si>
    <t>dienst</t>
  </si>
  <si>
    <t>geboorte</t>
  </si>
  <si>
    <t>trede</t>
  </si>
  <si>
    <t>WTF</t>
  </si>
  <si>
    <t>loonkosten</t>
  </si>
  <si>
    <t>kosten</t>
  </si>
  <si>
    <t>diensttijd</t>
  </si>
  <si>
    <t xml:space="preserve">totaal </t>
  </si>
  <si>
    <t xml:space="preserve">jaren </t>
  </si>
  <si>
    <t>datum</t>
  </si>
  <si>
    <t>werkgeverslasten</t>
  </si>
  <si>
    <t xml:space="preserve">vs </t>
  </si>
  <si>
    <t>kalenderjaar</t>
  </si>
  <si>
    <t>activagroep</t>
  </si>
  <si>
    <t>omschrijving</t>
  </si>
  <si>
    <t>aantal /</t>
  </si>
  <si>
    <t>aanschafprijs</t>
  </si>
  <si>
    <t>jaar van</t>
  </si>
  <si>
    <t>afschrijvings-</t>
  </si>
  <si>
    <t>beslisregel</t>
  </si>
  <si>
    <t>aanschaf-</t>
  </si>
  <si>
    <t>afschrijving</t>
  </si>
  <si>
    <t>laatste</t>
  </si>
  <si>
    <t>eenheden</t>
  </si>
  <si>
    <t>(per eenheid)</t>
  </si>
  <si>
    <t>aanschaf</t>
  </si>
  <si>
    <t>termijn</t>
  </si>
  <si>
    <t>waarde</t>
  </si>
  <si>
    <t>per jaar</t>
  </si>
  <si>
    <t>investering</t>
  </si>
  <si>
    <t>Investeringen</t>
  </si>
  <si>
    <t>Waarde activa per 31-12</t>
  </si>
  <si>
    <t xml:space="preserve">Na invoering van persoonsgegevens, salarisgegevens en de werktijdfactor worden de totale loonkosten berekend. Daarbij wordt uitgegaan van </t>
  </si>
  <si>
    <t xml:space="preserve">De gegevens van het personeel worden voor de jaren daarna automatisch aangepast. Dat impliceert ook dat wanneer volgend jaar een nieuw </t>
  </si>
  <si>
    <t>latere jaren kan deze WTF dan overschreven worden en op de juiste omvang worden vastgesteld.</t>
  </si>
  <si>
    <t>Werkblad 'tab'</t>
  </si>
  <si>
    <t>teldatum</t>
  </si>
  <si>
    <t>Financiële baten en lasten</t>
  </si>
  <si>
    <t>Activa</t>
  </si>
  <si>
    <t>Financiële kengetallen</t>
  </si>
  <si>
    <t>Solvabiliteit 1</t>
  </si>
  <si>
    <t>Liquiditeit</t>
  </si>
  <si>
    <t xml:space="preserve">In dit werkblad worden de gegevens in verband met de activa verwerkt. Na opgave van de beginstand van de activa worden de </t>
  </si>
  <si>
    <t>Overige overheidsbijdragen en -subsidies</t>
  </si>
  <si>
    <t xml:space="preserve">Overige baten </t>
  </si>
  <si>
    <t>baten werk in opdracht derden</t>
  </si>
  <si>
    <t xml:space="preserve">Totaal baten personeel </t>
  </si>
  <si>
    <t xml:space="preserve">Overige personele lasten </t>
  </si>
  <si>
    <t>Totaal lasten personeel</t>
  </si>
  <si>
    <t xml:space="preserve">Saldo personeel </t>
  </si>
  <si>
    <t>lokaal onderwijsbeleid</t>
  </si>
  <si>
    <t>Overige lasten</t>
  </si>
  <si>
    <t>Totaal lasten materieel</t>
  </si>
  <si>
    <t>Saldo materieel</t>
  </si>
  <si>
    <t>Totaal baten materieel</t>
  </si>
  <si>
    <t>College-, cursus-, les- en examengelden</t>
  </si>
  <si>
    <t>Baten werk in opdracht van derden</t>
  </si>
  <si>
    <t>Lasten</t>
  </si>
  <si>
    <t xml:space="preserve">Overige lasten </t>
  </si>
  <si>
    <t>Saldo baten en lasten</t>
  </si>
  <si>
    <t>Saldo fianciële baten en lasten</t>
  </si>
  <si>
    <t>Resultaat</t>
  </si>
  <si>
    <t xml:space="preserve">Rijksbijdragen  </t>
  </si>
  <si>
    <t>Lasten personeel</t>
  </si>
  <si>
    <t>Deelnamepercentages 1 oktober T-1</t>
  </si>
  <si>
    <t>Weerstandsvermogen (EV / totale lasten)</t>
  </si>
  <si>
    <t>Kredietinstellingen</t>
  </si>
  <si>
    <t>Overige langlopende schulden</t>
  </si>
  <si>
    <t>Crediteuren</t>
  </si>
  <si>
    <t>Ministerie van OCW</t>
  </si>
  <si>
    <t>Belastingen en premies sociale verzekeringen</t>
  </si>
  <si>
    <t>Schulden terzake pensioenen</t>
  </si>
  <si>
    <t>Overige kortlopende schulden</t>
  </si>
  <si>
    <t>Overlopende passiva</t>
  </si>
  <si>
    <t>Kasstroom uit operationele activiteiten</t>
  </si>
  <si>
    <t>Mutaties werkkapitaal</t>
  </si>
  <si>
    <t>voorraden</t>
  </si>
  <si>
    <t>vorderingen</t>
  </si>
  <si>
    <t>effecten</t>
  </si>
  <si>
    <t>kortlopende schulden</t>
  </si>
  <si>
    <t>Mutaties voorzieningen</t>
  </si>
  <si>
    <t>Kasstroom uit investeringsactiviteiten</t>
  </si>
  <si>
    <t>Kasstroom uit financieringsactiviteiten</t>
  </si>
  <si>
    <t>Mutatie Liquide middelen</t>
  </si>
  <si>
    <t>mutatie Liquide middelen (balans)</t>
  </si>
  <si>
    <t>Eindsaldo liquide middelen</t>
  </si>
  <si>
    <t>liquiditeit (vlottende activa / kortlopende schulden)</t>
  </si>
  <si>
    <t>Grootboeknr.</t>
  </si>
  <si>
    <t>Passiva</t>
  </si>
  <si>
    <t>Activa totaal</t>
  </si>
  <si>
    <t>Algemene reserve</t>
  </si>
  <si>
    <t>Bestemmingsreserve 1</t>
  </si>
  <si>
    <t>Bestemmingsreserve 2</t>
  </si>
  <si>
    <t>Bestemmingsreserve 3</t>
  </si>
  <si>
    <t>Passiva totaal</t>
  </si>
  <si>
    <t>Normatieve Rijksbijdrage OCW</t>
  </si>
  <si>
    <t>HULPBLAD: KOSTEN VAN EEN FUNCTIE</t>
  </si>
  <si>
    <t xml:space="preserve">Globale (= normale) benadering </t>
  </si>
  <si>
    <t xml:space="preserve">Salarisgegevens per 1 augustus (na toekenning reguliere periodieke verhoging) </t>
  </si>
  <si>
    <t>Opzet van dit instrument</t>
  </si>
  <si>
    <t>Voorziening Jubilea</t>
  </si>
  <si>
    <t>Rentabiliteit</t>
  </si>
  <si>
    <t>2015/16</t>
  </si>
  <si>
    <t>teldatum leerlingen (t-1) per 1 oktober</t>
  </si>
  <si>
    <t xml:space="preserve">Baten  </t>
  </si>
  <si>
    <t>Baten</t>
  </si>
  <si>
    <t>Voorziening Groot Onderhoud</t>
  </si>
  <si>
    <t>35%-60%</t>
  </si>
  <si>
    <t>Investeringen materiële vaste activa</t>
  </si>
  <si>
    <t>Investeringen immateriële vaste activa</t>
  </si>
  <si>
    <t>Investeringen financiële vaste activa</t>
  </si>
  <si>
    <t>signalering</t>
  </si>
  <si>
    <t>0,5 tot 1,5</t>
  </si>
  <si>
    <t>0% - 5%</t>
  </si>
  <si>
    <t>Kapitalisatiefactor (bovengrens)</t>
  </si>
  <si>
    <t xml:space="preserve">De dotaties en kosten Jubilea lopen via de betreffende voorziening van de balans. </t>
  </si>
  <si>
    <t xml:space="preserve">In dit werkblad MeerjarenInvesteringsPlan worden de afschrijvingen bepaald die ten laste van de (materiële) exploitatie van het SWV </t>
  </si>
  <si>
    <t>In dit werkblad wordt het kasstroomoverzicht bijgehouden. Het geeft de informatie omtrent de ontwikkeling van de liquiditeit door de jaren heen.</t>
  </si>
  <si>
    <t>bekostiging minus kosten 1 okt T-1 Pers</t>
  </si>
  <si>
    <t>overdracht obv peildatum Pers</t>
  </si>
  <si>
    <t>bekostiging minus kosten 1 okt T-1 Mat</t>
  </si>
  <si>
    <t>overdracht obv peildatum Mat</t>
  </si>
  <si>
    <t>Ook is het verborgen werkblad 'hlpbl' als hulpblad beschikbaar voor de snelle raming van de kosten van een functie.</t>
  </si>
  <si>
    <t>In dit werkblad wordt de personele bekostiging verwerkt van enerzijds de Lichte Ondersteuning en anderzijds de Zware Ondersteuning en worden</t>
  </si>
  <si>
    <t>deugdelijk onderbouwd kan worden.</t>
  </si>
  <si>
    <t>Personele bekostiging Zware Ondersteuning</t>
  </si>
  <si>
    <t xml:space="preserve">Baten en lasten </t>
  </si>
  <si>
    <t>2016/17</t>
  </si>
  <si>
    <t>salaris</t>
  </si>
  <si>
    <t>1.1 Immateriële vaste activa</t>
  </si>
  <si>
    <t>1.2 Materiële vaste activa</t>
  </si>
  <si>
    <t>1.3 Financiële vaste activa</t>
  </si>
  <si>
    <t>1.4  Voorraden</t>
  </si>
  <si>
    <t>1.5 Vorderingen</t>
  </si>
  <si>
    <t>1.6 Effecten (&lt; 1jaar)</t>
  </si>
  <si>
    <t xml:space="preserve">1.7 Liquide middelen </t>
  </si>
  <si>
    <t>2.1 Eigen Vermogen</t>
  </si>
  <si>
    <t>2.2 Voorzieningen</t>
  </si>
  <si>
    <t>Overige voorzieningen</t>
  </si>
  <si>
    <t>2.3 Langlopende schulden</t>
  </si>
  <si>
    <t>2.4 Kortlopende schulden</t>
  </si>
  <si>
    <t>jubilea</t>
  </si>
  <si>
    <t xml:space="preserve">In de tabellen zijn de gegevens opgenomen die betrekking hebben op de onderliggende normeringen voor de bekostiging. </t>
  </si>
  <si>
    <t>(Dit is een informatiewerkblad; dit blad hoeft dus niet ingevuld te worden)</t>
  </si>
  <si>
    <t xml:space="preserve">naam </t>
  </si>
  <si>
    <t>brinnr.</t>
  </si>
  <si>
    <t>Uitgaven personeel</t>
  </si>
  <si>
    <t>Inkomsten materieel</t>
  </si>
  <si>
    <t>Uitgaven materieel</t>
  </si>
  <si>
    <t>11AA</t>
  </si>
  <si>
    <t xml:space="preserve">In de werkbladen kunnen de witte cellen binnen de grijze omlijsting ingevuld worden. </t>
  </si>
  <si>
    <t>Op grond van de opgegeven diensttijd wordt ook de omvang van de jubileumuitkering berekend.</t>
  </si>
  <si>
    <t>Bé Keizer, tel.: 06-22939674 of e-mail:</t>
  </si>
  <si>
    <t xml:space="preserve">be.keizer@wxs.nl </t>
  </si>
  <si>
    <t>2017/18</t>
  </si>
  <si>
    <t>2018/19</t>
  </si>
  <si>
    <t>2019/20</t>
  </si>
  <si>
    <t>school 68</t>
  </si>
  <si>
    <t>school 69</t>
  </si>
  <si>
    <t>school 70</t>
  </si>
  <si>
    <t>school 71</t>
  </si>
  <si>
    <t>school 72</t>
  </si>
  <si>
    <t>school 73</t>
  </si>
  <si>
    <t>school 74</t>
  </si>
  <si>
    <t>school 75</t>
  </si>
  <si>
    <t>school 76</t>
  </si>
  <si>
    <t>school 77</t>
  </si>
  <si>
    <t>school 78</t>
  </si>
  <si>
    <t>school 79</t>
  </si>
  <si>
    <t>school 80</t>
  </si>
  <si>
    <t>school 81</t>
  </si>
  <si>
    <t>school 82</t>
  </si>
  <si>
    <t>school 83</t>
  </si>
  <si>
    <t>school 84</t>
  </si>
  <si>
    <t>school 85</t>
  </si>
  <si>
    <t>school 86</t>
  </si>
  <si>
    <t>school 87</t>
  </si>
  <si>
    <t>school 88</t>
  </si>
  <si>
    <t>school 89</t>
  </si>
  <si>
    <t>school 90</t>
  </si>
  <si>
    <t>school 91</t>
  </si>
  <si>
    <t>school 92</t>
  </si>
  <si>
    <t>school 93</t>
  </si>
  <si>
    <t>school 94</t>
  </si>
  <si>
    <t>school 95</t>
  </si>
  <si>
    <t>school 96</t>
  </si>
  <si>
    <t>school 97</t>
  </si>
  <si>
    <t>school 98</t>
  </si>
  <si>
    <t>school 99</t>
  </si>
  <si>
    <t>school 100</t>
  </si>
  <si>
    <t>school 101</t>
  </si>
  <si>
    <t>school 102</t>
  </si>
  <si>
    <t>school 103</t>
  </si>
  <si>
    <t>school 104</t>
  </si>
  <si>
    <t>school 105</t>
  </si>
  <si>
    <t>school 106</t>
  </si>
  <si>
    <t>school 107</t>
  </si>
  <si>
    <t>school 108</t>
  </si>
  <si>
    <t>school 109</t>
  </si>
  <si>
    <t>school 110</t>
  </si>
  <si>
    <t>school 111</t>
  </si>
  <si>
    <t>school 112</t>
  </si>
  <si>
    <t>school 113</t>
  </si>
  <si>
    <t>school 114</t>
  </si>
  <si>
    <t>school 115</t>
  </si>
  <si>
    <t>school 116</t>
  </si>
  <si>
    <t>school 117</t>
  </si>
  <si>
    <t>school 118</t>
  </si>
  <si>
    <t>school 119</t>
  </si>
  <si>
    <t>school 120</t>
  </si>
  <si>
    <t>school 121</t>
  </si>
  <si>
    <t>school 122</t>
  </si>
  <si>
    <t>school 123</t>
  </si>
  <si>
    <t>school 124</t>
  </si>
  <si>
    <t>school 125</t>
  </si>
  <si>
    <t>Naam SWV Passend onderwijs</t>
  </si>
  <si>
    <t>Totaal</t>
  </si>
  <si>
    <t>categorie 1</t>
  </si>
  <si>
    <t>categorie 2</t>
  </si>
  <si>
    <t>categorie 3</t>
  </si>
  <si>
    <t>Personeel</t>
  </si>
  <si>
    <t>Materieel</t>
  </si>
  <si>
    <t>Totaal overdrachtsverplichting via DUO 1 okt T-1 per schooljaar</t>
  </si>
  <si>
    <t>Personeel in dienst van SWV</t>
  </si>
  <si>
    <t>Dotatie voorziening jubilea</t>
  </si>
  <si>
    <t>Aantal leerlingen LWOO</t>
  </si>
  <si>
    <t>Totaal aantal leerlingen VO</t>
  </si>
  <si>
    <t>Aantal leerlingen PRO</t>
  </si>
  <si>
    <t>Aantal leerlingen Overig VO</t>
  </si>
  <si>
    <t>Budgettoekenning Lichte Ondersteuning</t>
  </si>
  <si>
    <t xml:space="preserve">Aantal leerlingen per VSO op  teldatum </t>
  </si>
  <si>
    <t>Sommatie per categorie VSO</t>
  </si>
  <si>
    <t>Aantal leerlingen VO (incl. LWOO, PRO en VSO) op 1 oktober T-1</t>
  </si>
  <si>
    <t>Leerlingen VSO t.o.v. alle leerlingen SWV</t>
  </si>
  <si>
    <t>Leerlingen VSO t.o.v leerlingen VO</t>
  </si>
  <si>
    <t>Leerlingen VSO cat 1 t.o.v. alle leerlingen VO</t>
  </si>
  <si>
    <t>Leerlingen VSO cat 2 t.o.v. alle leerlingen VO</t>
  </si>
  <si>
    <t>Leerlingen VSO cat 3 t.o.v. alle leerlingen VO</t>
  </si>
  <si>
    <t>OVERDRACHTSVERPLICHTING AAN VSO</t>
  </si>
  <si>
    <t>benodigd ondersteuningsbedrag Pers aan VSO</t>
  </si>
  <si>
    <t>bijdrage per leerling VO en VSO</t>
  </si>
  <si>
    <t>ondersteuningsbedrag Mat aan VSO</t>
  </si>
  <si>
    <t>Bekostiging aan VSO-school (Pers)</t>
  </si>
  <si>
    <t>Bekostiging aan VSO-school (Mat)</t>
  </si>
  <si>
    <t>salaristabellen</t>
  </si>
  <si>
    <t>LIO</t>
  </si>
  <si>
    <t>Ondersteuningsbedragen VSO</t>
  </si>
  <si>
    <t>SPECIFICATIE GEGEVENS VO-SCHOLEN</t>
  </si>
  <si>
    <t>TOTAAL Zware Ondersteuning VO-SCHOLEN</t>
  </si>
  <si>
    <t>VO-SCHOLEN</t>
  </si>
  <si>
    <t>Bekostiging personeel SWV</t>
  </si>
  <si>
    <t>Totaal bedrag</t>
  </si>
  <si>
    <t>ondersteuningsbedrag SWV</t>
  </si>
  <si>
    <t>www.voraad.nl</t>
  </si>
  <si>
    <t>BRIN-nr.</t>
  </si>
  <si>
    <t>gemiddelde GPL-waarde VO</t>
  </si>
  <si>
    <t>school 27</t>
  </si>
  <si>
    <t>school 28</t>
  </si>
  <si>
    <t>school 29</t>
  </si>
  <si>
    <t>school 30</t>
  </si>
  <si>
    <t>TOTAAL Lichte Ondersteuning VO-SCHOLEN</t>
  </si>
  <si>
    <t>Totale baten</t>
  </si>
  <si>
    <t>baten bedrijfsvoering</t>
  </si>
  <si>
    <t>baten financiële bedrijfsvoering</t>
  </si>
  <si>
    <t>totaal per leerling</t>
  </si>
  <si>
    <t xml:space="preserve">Totale lasten </t>
  </si>
  <si>
    <t>lasten bedrijfsvoering</t>
  </si>
  <si>
    <t>lasten financiële bedrijfsvoering</t>
  </si>
  <si>
    <t>Huisvesting</t>
  </si>
  <si>
    <t>afschrijving gebouwen</t>
  </si>
  <si>
    <t>eigen vermogen/  baten bedrijfsvoering</t>
  </si>
  <si>
    <t>rijksbijdragen/  baten bedrijfsvoering</t>
  </si>
  <si>
    <t>overige overheidsbijdragen/ baten bedrijfsvoering</t>
  </si>
  <si>
    <t>overige baten/  baten bedrijfsvoering</t>
  </si>
  <si>
    <t>investeringen/  baten bedrijfsvoering</t>
  </si>
  <si>
    <t xml:space="preserve">eigen vermogen </t>
  </si>
  <si>
    <t>balanstotaal</t>
  </si>
  <si>
    <t>vlottende activa</t>
  </si>
  <si>
    <t>resultaat bedrijfsvoering</t>
  </si>
  <si>
    <t>Weerstandsvermogen</t>
  </si>
  <si>
    <t>eigen vermogen</t>
  </si>
  <si>
    <t>materiële vaste activa</t>
  </si>
  <si>
    <t>Kapitalisatiefactor</t>
  </si>
  <si>
    <t>totaal vermogen</t>
  </si>
  <si>
    <t>totale baten</t>
  </si>
  <si>
    <t xml:space="preserve">Exploitatie kengetallen </t>
  </si>
  <si>
    <t>totale baten / totale lasten</t>
  </si>
  <si>
    <t>baten personeel / lasten personeel</t>
  </si>
  <si>
    <t>baten materieel / lasten materieel</t>
  </si>
  <si>
    <t>personele lasten per leerling</t>
  </si>
  <si>
    <t xml:space="preserve">salarissen/ per FTE </t>
  </si>
  <si>
    <t>baten personeel/ totale baten</t>
  </si>
  <si>
    <t>personele lasten/ totale lasten</t>
  </si>
  <si>
    <t>salarissen / totale lasten</t>
  </si>
  <si>
    <t>baten materieel / totale baten</t>
  </si>
  <si>
    <t>lasten materieel / totale lasten</t>
  </si>
  <si>
    <t>Indices</t>
  </si>
  <si>
    <t>Ontwikkeling salarissen</t>
  </si>
  <si>
    <t>Ontwikkeling totale baten</t>
  </si>
  <si>
    <t>Ontwikkeling Rijksbijdragen</t>
  </si>
  <si>
    <t>Ontwikkeling overige overheidsbijdragen</t>
  </si>
  <si>
    <t>Ontwikkeling baten werk in opdracht van derden</t>
  </si>
  <si>
    <t>Ontwikkeling overige baten</t>
  </si>
  <si>
    <t>Ontwikkeling totale lasten</t>
  </si>
  <si>
    <t>Ontwikkeling personele lasten</t>
  </si>
  <si>
    <t>Ontwikkeling afschrijvingen</t>
  </si>
  <si>
    <t>Ontwikkeling huisvestingslasten</t>
  </si>
  <si>
    <t>Ontwikkeling overige lasten</t>
  </si>
  <si>
    <t>Aantal FTE</t>
  </si>
  <si>
    <t>huisvestingslasten lichte ondersteuning</t>
  </si>
  <si>
    <t>huisvestingslasten zware ondersteuning</t>
  </si>
  <si>
    <t>baten personeel</t>
  </si>
  <si>
    <t>Ontwikkeling aantal leerlingen PRO</t>
  </si>
  <si>
    <t>Ontwikkeling aantal leerlingen Overig VO</t>
  </si>
  <si>
    <t>Ontwikkeling totaal aantal leerlingen VO</t>
  </si>
  <si>
    <t>Ontwikkeling aantal leerlingen VO + VSO</t>
  </si>
  <si>
    <t>Ontwikkeling totaal aantal leerlingen VSO</t>
  </si>
  <si>
    <t>Ontwikkeling totaal aantal leerlingen VSO categorie 1</t>
  </si>
  <si>
    <t>Ontwikkeling totaal aantal leerlingen VSO categorie 2</t>
  </si>
  <si>
    <t>Ontwikkeling totaal aantal leerlingen VSO categorie 3</t>
  </si>
  <si>
    <t>Werkblad 'ken'</t>
  </si>
  <si>
    <t>De exploitatie levert ook tal van kengetallen die er toe doen zoals relevante bedragen per leerling en verhoudingsgetallen. Die spreken voor zich.</t>
  </si>
  <si>
    <t>GRAFIEKEN</t>
  </si>
  <si>
    <t>school 24</t>
  </si>
  <si>
    <t>school 25</t>
  </si>
  <si>
    <t>school 26</t>
  </si>
  <si>
    <t xml:space="preserve">Daarbij wordt ook meteen berekend wat de bijdrage is van de schoolbesturen wanneer er sprake is van uitputting van het normatieve budget. </t>
  </si>
  <si>
    <t xml:space="preserve">Een goed inzicht in de prognose van de leerlingen in de meerjarenbegroting van de VSO-school is essentieel. </t>
  </si>
  <si>
    <t>In percentage per 1 okt T-1:</t>
  </si>
  <si>
    <r>
      <t xml:space="preserve">Aantal leerlingen VSO: </t>
    </r>
    <r>
      <rPr>
        <sz val="10"/>
        <rFont val="Calibri"/>
        <family val="2"/>
      </rPr>
      <t>Er is ruimte voor 35 scholen VSO.</t>
    </r>
  </si>
  <si>
    <t xml:space="preserve">In dit werkblad wordt de omvang berekend van de overdrachtsverplichtingen aan het VSO die gelden in verband met het aantal leerlingen op de teldatum. </t>
  </si>
  <si>
    <t xml:space="preserve">De verrekening van de overdracht wordt uitgevoerd door DUO, inclusief de bekostiging van de eventuele uitputting - als daar sprake van is - door </t>
  </si>
  <si>
    <t>de deelnemende schoolbesturen in het SWV.</t>
  </si>
  <si>
    <t>Projecten</t>
  </si>
  <si>
    <t xml:space="preserve">In dit werkblad kunnen de gegevens per school worden opgegeven. De invoering van de feitelijke leerlingaantallen per 1 oktober </t>
  </si>
  <si>
    <t>omtrent toekenning van middelen aan de scholen automatisch laten berekenen.</t>
  </si>
  <si>
    <t xml:space="preserve">maximumsalaris van elke schaal. </t>
  </si>
  <si>
    <t>Landelijke deelnamepercentages:</t>
  </si>
  <si>
    <t>Landelijke deelname percentages:</t>
  </si>
  <si>
    <t>bijdrage besturen per leerling VO en VSO</t>
  </si>
  <si>
    <r>
      <t>Aantal leerlingen VO:</t>
    </r>
    <r>
      <rPr>
        <sz val="10"/>
        <rFont val="Calibri"/>
        <family val="2"/>
      </rPr>
      <t xml:space="preserve"> Het feitelijk aantal leerlingen LWOO, PRO en Overig VO op 1 oktober T-1. </t>
    </r>
  </si>
  <si>
    <t>Daarbij wordt onderscheid gemaakt tussen personeel en materieel en wordt rekening gehouden met de categorieën.</t>
  </si>
  <si>
    <t xml:space="preserve">In dit werkblad worden de baten en lasten van de materiële exploitatie verwerkt, uitgesplitst naar LO en ZO. </t>
  </si>
  <si>
    <t>In dit werkblad zijn relevante kengetallen opgenomen zoals die deels zijn voorgeschreven in de OCW-richtlijn financiële verslaggeving.</t>
  </si>
  <si>
    <t>voor de eigen situatie daadwerkelijk van toepassing is.</t>
  </si>
  <si>
    <t>Werkblad 'Li O school' (verborgen)</t>
  </si>
  <si>
    <t>Werkblad 'Zw O school' (verborgen)</t>
  </si>
  <si>
    <t>Overdracht ivm leerlingen VSO op 1 okt T-1</t>
  </si>
  <si>
    <t>Overdracht ivm leerlingen VSO op peildatum</t>
  </si>
  <si>
    <t>Overdracht ivm leerlingen VSO Totaal</t>
  </si>
  <si>
    <t>NB: lichtgele cellen zijn voorzien van formule, maar overschrijfbaar.</t>
  </si>
  <si>
    <t>personeel</t>
  </si>
  <si>
    <t>materieel</t>
  </si>
  <si>
    <t>LOONKOSTEN PERSONEEL ONDERSTEUNING SWV</t>
  </si>
  <si>
    <t>Overgangsbudget SWV ZO Mat</t>
  </si>
  <si>
    <t>loonkosten SWV per leerling</t>
  </si>
  <si>
    <t>Ontwikkeling aantal FTE SWV</t>
  </si>
  <si>
    <t>1 okt.</t>
  </si>
  <si>
    <t xml:space="preserve">De opgegeven leerlingen betreffen alleen de leerlingen van een VSO-school - die meestal in meerdere verbanden functioneert - voor dat aantal </t>
  </si>
  <si>
    <t>ingevoerd. Invoer is mogelijk op de witte velden.</t>
  </si>
  <si>
    <t xml:space="preserve">Werkblad 'sal SWV' </t>
  </si>
  <si>
    <t>In dit werkblad kunnen de personele lasten worden opgevoerd van het personeel dat rechtstreeks is aangesteld bij het samenwerkingsverband.</t>
  </si>
  <si>
    <t>Het onderscheid lichte en zware ondersteuning is hierbij niet gehanteerd.</t>
  </si>
  <si>
    <t xml:space="preserve">De financiële kengetallen worden ook direct berekend en weergegeven, met daarbij de kanttekening dat de relevantie voor SWV-en beperkt is </t>
  </si>
  <si>
    <t>Werkblad 'graf'</t>
  </si>
  <si>
    <t>Geindexeerd bedrag</t>
  </si>
  <si>
    <t>bijdrage besturen Pers obv peildatum</t>
  </si>
  <si>
    <t>bijdrage besturen Mat obv peildatum</t>
  </si>
  <si>
    <t>Uitvoering door DUO</t>
  </si>
  <si>
    <t>Uitvoering door SWV</t>
  </si>
  <si>
    <t>Deze grafieken kunnen ook in het Ondersteuningsplan resp. het Jaarverslag van het verband worden opgenomen.</t>
  </si>
  <si>
    <r>
      <t xml:space="preserve">Voor de werkgeverslasten is een </t>
    </r>
    <r>
      <rPr>
        <b/>
        <sz val="10"/>
        <rFont val="Calibri"/>
        <family val="2"/>
      </rPr>
      <t>raming</t>
    </r>
    <r>
      <rPr>
        <sz val="10"/>
        <rFont val="Calibri"/>
        <family val="2"/>
      </rPr>
      <t xml:space="preserve"> opgenomen waarbij het dringende advies geldt deze raming bij te stellen op basis van het percentage zoals dat </t>
    </r>
  </si>
  <si>
    <t>voor een functie geldt.</t>
  </si>
  <si>
    <t>ongeveer</t>
  </si>
  <si>
    <t>loonkosten SWV</t>
  </si>
  <si>
    <t>personeel SWV</t>
  </si>
  <si>
    <t>schaal / regel</t>
  </si>
  <si>
    <t>regels</t>
  </si>
  <si>
    <t>lwoo</t>
  </si>
  <si>
    <t>pro</t>
  </si>
  <si>
    <t>Totaal aantal leerlingen lwoo</t>
  </si>
  <si>
    <t>Totaal aantal leerlingen pro</t>
  </si>
  <si>
    <t>Naam</t>
  </si>
  <si>
    <t>Brinnummer</t>
  </si>
  <si>
    <t xml:space="preserve">Totaal aantal leerlingen lwoo en pro </t>
  </si>
  <si>
    <t>Overdrachtsverplichting 'schoolsoortgroep 1</t>
  </si>
  <si>
    <t>Overdrachtsverplichting 'schoolsoortgroep 2</t>
  </si>
  <si>
    <t>Overdrachtsverplichting 'schoolsoortgroep 3</t>
  </si>
  <si>
    <t>Overdrachtsverplichting 'schoolsoortgroep 4</t>
  </si>
  <si>
    <t>per 1 oktober</t>
  </si>
  <si>
    <t>Dan ontvangt de school een complete bekostiging voor elke leerling die er is.</t>
  </si>
  <si>
    <t>School 20</t>
  </si>
  <si>
    <t>School 21</t>
  </si>
  <si>
    <t>School 22</t>
  </si>
  <si>
    <t>School 23</t>
  </si>
  <si>
    <t>School 24</t>
  </si>
  <si>
    <t>School 25</t>
  </si>
  <si>
    <t>School 26</t>
  </si>
  <si>
    <t>School 27</t>
  </si>
  <si>
    <t>School 28</t>
  </si>
  <si>
    <t>School 29</t>
  </si>
  <si>
    <t>School 30</t>
  </si>
  <si>
    <t>School 31</t>
  </si>
  <si>
    <t>School 32</t>
  </si>
  <si>
    <t>School 33</t>
  </si>
  <si>
    <t>School 34</t>
  </si>
  <si>
    <t>School 35</t>
  </si>
  <si>
    <t>Totaal LO en ZO naar kalenderjaar</t>
  </si>
  <si>
    <t>Zware ondersteuning kalenderjaar</t>
  </si>
  <si>
    <t>projecten</t>
  </si>
  <si>
    <t>lasten personeel (incl. loonkosten SWV en projecten)</t>
  </si>
  <si>
    <t>Resultaat personeel</t>
  </si>
  <si>
    <t>Rijksbijdrage OCW lichte ondersteuning</t>
  </si>
  <si>
    <t>Overgangsbudget SWV (P naar schooljaar, M naar kalenderjaar)</t>
  </si>
  <si>
    <t>Rijksbijdrage OCW totaal</t>
  </si>
  <si>
    <t>Bekostiging door SWV P</t>
  </si>
  <si>
    <t>Totaal baten</t>
  </si>
  <si>
    <t>Totaal lasten</t>
  </si>
  <si>
    <t>&gt; 30%</t>
  </si>
  <si>
    <t xml:space="preserve">Lasten personeel </t>
  </si>
  <si>
    <t>loonkosten personeel SWV</t>
  </si>
  <si>
    <t>school 31</t>
  </si>
  <si>
    <t>school 32</t>
  </si>
  <si>
    <t>school 33</t>
  </si>
  <si>
    <t>school 34</t>
  </si>
  <si>
    <t>school 35</t>
  </si>
  <si>
    <t>school 36</t>
  </si>
  <si>
    <t>school 37</t>
  </si>
  <si>
    <t>school 38</t>
  </si>
  <si>
    <t>school 39</t>
  </si>
  <si>
    <t>school 40</t>
  </si>
  <si>
    <t>school 41</t>
  </si>
  <si>
    <t>school 42</t>
  </si>
  <si>
    <t>school 43</t>
  </si>
  <si>
    <t>school 44</t>
  </si>
  <si>
    <t>school 45</t>
  </si>
  <si>
    <t>school 46</t>
  </si>
  <si>
    <t>school 47</t>
  </si>
  <si>
    <t>school 48</t>
  </si>
  <si>
    <t>school 49</t>
  </si>
  <si>
    <t>school 50</t>
  </si>
  <si>
    <t>school 51</t>
  </si>
  <si>
    <t>school 52</t>
  </si>
  <si>
    <t>school 53</t>
  </si>
  <si>
    <t>school 54</t>
  </si>
  <si>
    <t>school 55</t>
  </si>
  <si>
    <t>school 56</t>
  </si>
  <si>
    <t>school 57</t>
  </si>
  <si>
    <t>school 58</t>
  </si>
  <si>
    <t>school 59</t>
  </si>
  <si>
    <t>school 60</t>
  </si>
  <si>
    <t>school 61</t>
  </si>
  <si>
    <t>school 62</t>
  </si>
  <si>
    <t>school 63</t>
  </si>
  <si>
    <t>school 64</t>
  </si>
  <si>
    <t>school 65</t>
  </si>
  <si>
    <t>school 66</t>
  </si>
  <si>
    <t>school 67</t>
  </si>
  <si>
    <t>Aantal leerlingen VO</t>
  </si>
  <si>
    <t xml:space="preserve">Er zijn ook de verborgen werkbladen 'Li O school' en 'Zw O school' waarin de gegevens van afzonderlijke scholen kunnen worden gespecificeerd en </t>
  </si>
  <si>
    <t>berekeningen per school worden gemaakt.</t>
  </si>
  <si>
    <t>landelijke percentages opgenomen.</t>
  </si>
  <si>
    <t>Reacties graag naar Adviesbureau Keizer:</t>
  </si>
  <si>
    <t>Overzicht baten en lasten LWOO en PRO en berekening Uitputting per leerling</t>
  </si>
  <si>
    <t>Werkblad 'LWOO-PRO'</t>
  </si>
  <si>
    <t xml:space="preserve">In dit werkblad dienen alle VO-scholen te worden opgenomen met de opgave van het aantal LWOO- en/of PRO-leerlingen per school. </t>
  </si>
  <si>
    <t>Normatieve Rijksbijdrage OCW:</t>
  </si>
  <si>
    <t>Inkomsten personeel Overige lichte ondersteuning</t>
  </si>
  <si>
    <t>LWOO en PRO zijn hier buiten beschouwing gebleven, daarvoor wordt verwezen naar het werkblad 'LWOO-PRO'.</t>
  </si>
  <si>
    <t>Berekening kosten (afgerond) op basis van GPL.</t>
  </si>
  <si>
    <t>korting: 2,86%</t>
  </si>
  <si>
    <t>95% of 90 %</t>
  </si>
  <si>
    <t>80% of 75%</t>
  </si>
  <si>
    <t>TOTAAL Lichte Ondersteuning LWOO en PRO VO-SCHOLEN</t>
  </si>
  <si>
    <t xml:space="preserve">In dit werkblad wordt de omvang weergegeven van de overdrachtsverplichtingen aan het VSO die gelden in verband met het aantal leerlingen op </t>
  </si>
  <si>
    <t>resp. materiële overdracht.</t>
  </si>
  <si>
    <r>
      <t xml:space="preserve">In het programma zelf is het mogelijk bij cellen met een </t>
    </r>
    <r>
      <rPr>
        <b/>
        <sz val="10"/>
        <color rgb="FF993300"/>
        <rFont val="Calibri"/>
        <family val="2"/>
      </rPr>
      <t>rood driehoekje</t>
    </r>
    <r>
      <rPr>
        <sz val="10"/>
        <rFont val="Calibri"/>
        <family val="2"/>
      </rPr>
      <t xml:space="preserve"> in de rechterbovenhoek informatie te verkrijgen door de muiscursor </t>
    </r>
  </si>
  <si>
    <t>op die cel te plaatsen. De programma's zijn beveiligd zodat invoer alleen mogelijk is op de witte en - in een beperkt aantal gevallen - de lichtgele velden.</t>
  </si>
  <si>
    <t>Overige lichte ondersteuning</t>
  </si>
  <si>
    <t>Uitputting</t>
  </si>
  <si>
    <t>Bijdrage van besturen per leerling aan SWV</t>
  </si>
  <si>
    <t>Saldo voor SWV</t>
  </si>
  <si>
    <t>Bijdrage besturen ivm uitputting zware ondersteuning 1 oktober</t>
  </si>
  <si>
    <t>Bijdrage besturen ivm uitputting zware ondersteuning 1 februari</t>
  </si>
  <si>
    <t>Samengevat naar kalenderjaar</t>
  </si>
  <si>
    <t>Samengevat naar schooljaar</t>
  </si>
  <si>
    <t xml:space="preserve">Daarbij zijn de gele velden voorzien van een formule die niet overschreven kan worden. Dat geldt ook voor de lichtgele velden maar daarbij kan </t>
  </si>
  <si>
    <t>overschrijving wenselijk zijn. Alleen in het werkblad tab zijn het daarentegen de gele cellen die toegankelijk zijn en niet de witte.</t>
  </si>
  <si>
    <t xml:space="preserve">De bijdrage van de besturen aan de uitputting, verwerkt door DUO-CFI, wordt hier geboekt als rijksbijdragen cf. de voorschriften jaarverslaggeving. </t>
  </si>
  <si>
    <t>De eventuele uitputting peildatum wordt ook omgerekend in een bedrag per leerling voor iedere leerling die tot het SWV wordt gerekend.</t>
  </si>
  <si>
    <t>omdat de risico's bij een samenwerkingsverband anders zijn dan die van een schoolbestuur.</t>
  </si>
  <si>
    <t>prognose:</t>
  </si>
  <si>
    <t>School 17</t>
  </si>
  <si>
    <t>School 18</t>
  </si>
  <si>
    <t>School 19</t>
  </si>
  <si>
    <t>actuele bedragen LWOO/PRO personele bekostiging</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</si>
  <si>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</si>
  <si>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</si>
  <si>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</si>
  <si>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</si>
  <si>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</si>
  <si>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</si>
  <si>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</si>
  <si>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</si>
  <si>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</si>
  <si>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</si>
  <si>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</si>
  <si>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</si>
  <si>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</si>
  <si>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</si>
  <si>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</si>
  <si>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</si>
  <si>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school 17</t>
  </si>
  <si>
    <t>school 18</t>
  </si>
  <si>
    <t>school 19</t>
  </si>
  <si>
    <t>school 20</t>
  </si>
  <si>
    <t>school 21</t>
  </si>
  <si>
    <t>school 22</t>
  </si>
  <si>
    <t>school 23</t>
  </si>
  <si>
    <t xml:space="preserve">Totale loonkosten jaar (incl. werkg. lasten) </t>
  </si>
  <si>
    <t>bijdrage per leerling vo en vso</t>
  </si>
  <si>
    <t>uitputting</t>
  </si>
  <si>
    <t>2022/23</t>
  </si>
  <si>
    <t>2017-2018</t>
  </si>
  <si>
    <t>Levensfasebewust personeelsbeleid</t>
  </si>
  <si>
    <t>Loonkosten</t>
  </si>
  <si>
    <t>aanv. verlof</t>
  </si>
  <si>
    <t>overgangs-</t>
  </si>
  <si>
    <t>basis-</t>
  </si>
  <si>
    <t>uren</t>
  </si>
  <si>
    <t>onbetaald</t>
  </si>
  <si>
    <t>kosten uren</t>
  </si>
  <si>
    <t>pensioenpr.</t>
  </si>
  <si>
    <t>werk ln.</t>
  </si>
  <si>
    <t>loonkn uur</t>
  </si>
  <si>
    <t xml:space="preserve">werkg ln </t>
  </si>
  <si>
    <t>zonder</t>
  </si>
  <si>
    <t>met</t>
  </si>
  <si>
    <t>% eigen</t>
  </si>
  <si>
    <t>budget 57 jr</t>
  </si>
  <si>
    <t>reg. bapo</t>
  </si>
  <si>
    <t>budget</t>
  </si>
  <si>
    <t>verlof</t>
  </si>
  <si>
    <t>excl. uren LFB</t>
  </si>
  <si>
    <t>LFB</t>
  </si>
  <si>
    <t>onbet verlof</t>
  </si>
  <si>
    <t>maand</t>
  </si>
  <si>
    <t>excl. wg ln</t>
  </si>
  <si>
    <t>incl. wg ln</t>
  </si>
  <si>
    <t>per uur</t>
  </si>
  <si>
    <t>eigen bijdr</t>
  </si>
  <si>
    <t>bijdrage</t>
  </si>
  <si>
    <t>Pensioenpremie ABP</t>
  </si>
  <si>
    <t>Werkgever</t>
  </si>
  <si>
    <t>Werknemer</t>
  </si>
  <si>
    <t>Franchise</t>
  </si>
  <si>
    <t>EJU</t>
  </si>
  <si>
    <t>Vak. Uitk.</t>
  </si>
  <si>
    <t>2023/24</t>
  </si>
  <si>
    <t>LFB-PB</t>
  </si>
  <si>
    <t>bruto maandsalaris</t>
  </si>
  <si>
    <t>eigen bijdrage LFB verlof (oop ≤ 8)</t>
  </si>
  <si>
    <t>eigen bijdrage LFB verlof (dir, op en oop &gt; 8)</t>
  </si>
  <si>
    <t>werkgeverslasten bij opname LFB verlof</t>
  </si>
  <si>
    <t xml:space="preserve">worden gebracht. Hiervoor is het vereist dat alle investeringen en afschrijvigen vanaf 1 augustus 2014 en de toekomstige investeringen </t>
  </si>
  <si>
    <t xml:space="preserve">In dit werkblad zijn grafieken opgenomen van belangrijke ontwikkelingen in het SWV, zowel wat leerlingen, financiën als kengetallen betreft. </t>
  </si>
  <si>
    <t>Opslag directie</t>
  </si>
  <si>
    <t xml:space="preserve">De afdruk van ieder werkblad in het instrument is 'geregeld', maar de instellingen daarvan zijn door iemand met ervaring </t>
  </si>
  <si>
    <r>
      <t xml:space="preserve">Het werkblad geeft </t>
    </r>
    <r>
      <rPr>
        <u/>
        <sz val="10"/>
        <rFont val="Calibri"/>
        <family val="2"/>
      </rPr>
      <t>ter informatie</t>
    </r>
    <r>
      <rPr>
        <sz val="10"/>
        <rFont val="Calibri"/>
        <family val="2"/>
      </rPr>
      <t xml:space="preserve"> ook weer wat de omvang is van de overdracht o.b.v. 1 oktober plus de overdracht o.b.v. de peildatum. Dan wordt ook </t>
    </r>
  </si>
  <si>
    <t xml:space="preserve">personeelslid wordt aangenomen de gegevens in het eerste jaar al kunnen worden ingevuld, zij het dan met werktijdfactor 0. In de </t>
  </si>
  <si>
    <t>bijgebogen moeten worden.</t>
  </si>
  <si>
    <t xml:space="preserve">omtrent toekenning van middelen aan de scholen automatisch laten berekenen. </t>
  </si>
  <si>
    <t>bijdrage o.b.v. tel- en peildatum</t>
  </si>
  <si>
    <t>Leerlingen VSO t.o.v alle leerlingen VO</t>
  </si>
  <si>
    <t>U kunt uw keuze opgeven in de Kijkdoos.</t>
  </si>
  <si>
    <t xml:space="preserve">De inkomsten en uitgaven van de VSO-school worden hier alleen berekend resp. overgenomen uit de Kijkdoos SWV VO voorzover het gaat om de </t>
  </si>
  <si>
    <t xml:space="preserve">overdrachtsverplichtingen van het SWV in verband met het aantal leerlingen op de tel- resp. de peildatum. </t>
  </si>
  <si>
    <t>Solvabiliteit 2</t>
  </si>
  <si>
    <t>waarde per 01/01</t>
  </si>
  <si>
    <t>Bekostiging lichte ondersteuning per lln VO</t>
  </si>
  <si>
    <t>Zware bekostiging omgerekend naar kalenderjaar</t>
  </si>
  <si>
    <t xml:space="preserve">Totaal lichte ondersteuning incl. onderst. LWOO en PRO </t>
  </si>
  <si>
    <t>en bijdrage besturen ivm uitputting</t>
  </si>
  <si>
    <t>Totaal lichte ondersteuning</t>
  </si>
  <si>
    <t>Overige rijksbijdragen OCW naar schooljaar</t>
  </si>
  <si>
    <t>Overige rijksbijdragen OCW</t>
  </si>
  <si>
    <t>Kengetallen VO</t>
  </si>
  <si>
    <t>eigen vermogen + voorzieningen</t>
  </si>
  <si>
    <t>Personele bekosting per leerling VO</t>
  </si>
  <si>
    <t>Ondersteuningsbedrag personeel per leerling LWOO/PRO aan SWV</t>
  </si>
  <si>
    <t>Ondersteuningsbedrag materieel per leerling LWOO/PRO aan SWV</t>
  </si>
  <si>
    <t>Ondersteuningsbekostiging personeel LWOO/PRO van SWV aan school</t>
  </si>
  <si>
    <t>Ondersteuningsbekostiging materieel LWOO/PRO van SWV aan school</t>
  </si>
  <si>
    <t>Ondersteuningsbekostiging PRO materieel</t>
  </si>
  <si>
    <t>Ondersteuningsbekostiging LWOO materieel</t>
  </si>
  <si>
    <t>Ondersteuningsbekostiging LWOO personeel</t>
  </si>
  <si>
    <t>Ondersteuningsbekostiging PRO personeel</t>
  </si>
  <si>
    <t>Personele ondersteuningsbekostiging LWOO van Rijk aan SWV</t>
  </si>
  <si>
    <t>Personele ondersteuningsbekostiging SWV aan LWOO</t>
  </si>
  <si>
    <t>Personele ondersteuningsbekostiging PRO van Rijk aan SWV</t>
  </si>
  <si>
    <t>Personele ondersteuningsbekostiging SWV aan PRO</t>
  </si>
  <si>
    <t>Materiële ondersteuningsbekostiging LWOO van Rijk aan SWV</t>
  </si>
  <si>
    <t>Materiële ondersteuningsbekostiging SWV aan LWOO</t>
  </si>
  <si>
    <t>Materiële ondersteuningsbekostiging PRO van Rijk aan SWV</t>
  </si>
  <si>
    <t>Materiële ondersteuningsbekostiging SWV aan PRO</t>
  </si>
  <si>
    <t>Personele ondersteuningsbekostiging LWOO en PRO van Rijk aan SWV</t>
  </si>
  <si>
    <t>Personele ondersteuningsbekostiging SWV aan LWOO en PRO</t>
  </si>
  <si>
    <t>Bijdrage besturen ivm uitputting lichte ondersteuning materieel</t>
  </si>
  <si>
    <t>Bijdrage besturen ivm uitputting lichte ondersteuning personeel</t>
  </si>
  <si>
    <t>Bekostiging door SWV M</t>
  </si>
  <si>
    <t>Materiële ondersteuningsbekostiging LWOO en PRO van Rijk aan SWV</t>
  </si>
  <si>
    <t>Materiële ondersteuningsbekostiging SWV aan LWOO en PRO</t>
  </si>
  <si>
    <t>Uitputting per leerling P+M</t>
  </si>
  <si>
    <t>Verrekening vindt plaats door DUO door korting op lumpsumbekostiging per school</t>
  </si>
  <si>
    <t>Ondersteuningsbekostiging SWV voor LWOO M</t>
  </si>
  <si>
    <t>Ondersteuningsbekostiging SWV voor PRO M</t>
  </si>
  <si>
    <t>Ondersteuningsbekostiging SWV voor LWOO P</t>
  </si>
  <si>
    <t>Ondersteuningsbekostiging SWV voor PRO P</t>
  </si>
  <si>
    <t>Totaal ondersteuningsbekostiging LWOO en PRO P</t>
  </si>
  <si>
    <t>Materiële bekosting per leerling VO</t>
  </si>
  <si>
    <t>Waarde activa per 01-01</t>
  </si>
  <si>
    <t>materiële lasten per leerling</t>
  </si>
  <si>
    <t>Die dient onderbouwd geleverd te worden door de VSO-school zelf, zo nodig in overleg.</t>
  </si>
  <si>
    <t xml:space="preserve">Op die wijze wordt berekend wat de omvang van de overdrachtsverplichting van het SWV per school is en van het totaal. Tegelijkertijd wordt berekend </t>
  </si>
  <si>
    <t>wat de omvang van de uitputting is, als daar sprake van is, met een specificatie voor LWOO resp. PRO en voor Personeel (P) en Materieel (M) afzonderlijk.</t>
  </si>
  <si>
    <t xml:space="preserve">In de bekostigig voor LWOO en PRO geldt ook het onderscheid P en M. De omvang van de uitputting wordt berekend in een bedrag per leerling. </t>
  </si>
  <si>
    <t xml:space="preserve">De overdracht op basis van de peildatum moet door het SWV zelf uitgevoerd worden, inclusief de eventuele gevolgen van uitputting voor de personele </t>
  </si>
  <si>
    <t xml:space="preserve">De kalenderjaarweergave van baten en lasten is ook samengevat weergegeven en ook omgerekend naar een schooljaarweergave (rij 201 e.v.). </t>
  </si>
  <si>
    <t>Totaal personeel</t>
  </si>
  <si>
    <t>Totaal materieel</t>
  </si>
  <si>
    <t>School 1</t>
  </si>
  <si>
    <t>School 2</t>
  </si>
  <si>
    <t>School 3</t>
  </si>
  <si>
    <t>School 4</t>
  </si>
  <si>
    <t>School 5</t>
  </si>
  <si>
    <t>School 6</t>
  </si>
  <si>
    <t>School 7</t>
  </si>
  <si>
    <t>School 8</t>
  </si>
  <si>
    <t>School 9</t>
  </si>
  <si>
    <t>School 10</t>
  </si>
  <si>
    <t>School 11</t>
  </si>
  <si>
    <t>School 12</t>
  </si>
  <si>
    <t>School 13</t>
  </si>
  <si>
    <t>School 14</t>
  </si>
  <si>
    <t>School 15</t>
  </si>
  <si>
    <t>School 16</t>
  </si>
  <si>
    <t>Saldo SWV m.b.t. LWOO baten lasten</t>
  </si>
  <si>
    <t>Saldo SWV m.b.t. PRO baten lasten</t>
  </si>
  <si>
    <t>2015/2016</t>
  </si>
  <si>
    <t xml:space="preserve">basisbekostiging Budget Pers Arb Beleid </t>
  </si>
  <si>
    <t>Herbestedingsverplichting</t>
  </si>
  <si>
    <t>Baten OCW</t>
  </si>
  <si>
    <t xml:space="preserve">Dit instrument levert de meerjarenbegroting voor het samenwerkingsverband. De indeling volgt daarbij de indeling van de jaarrekening </t>
  </si>
  <si>
    <t>Prognose-instrumenten:</t>
  </si>
  <si>
    <t>Scenariomodel-VO</t>
  </si>
  <si>
    <t xml:space="preserve">De peildatum is wettelijk op 1 februari gesteld. </t>
  </si>
  <si>
    <t>indexering voor volgend jaar</t>
  </si>
  <si>
    <t>Generieke doorbetaling aan scholen/schoolbesturen</t>
  </si>
  <si>
    <t>personele bekostiging PO resp. personele en exploitatiebekostiging VO.</t>
  </si>
  <si>
    <t>Schooljaar Zware ondersteuning</t>
  </si>
  <si>
    <t>piet</t>
  </si>
  <si>
    <t>chef</t>
  </si>
  <si>
    <t>2024/25</t>
  </si>
  <si>
    <t>Perc. LWOO-ll 1 okt. 2012</t>
  </si>
  <si>
    <t>Perc. PRO-ll okt. 2012</t>
  </si>
  <si>
    <t>BASISGEGEVENS LEERLINGEN</t>
  </si>
  <si>
    <t>Leerlingprognose VO op teldatum</t>
  </si>
  <si>
    <t>Totaal saldo SWV voor SWV lichte ondersteuning VO</t>
  </si>
  <si>
    <t>Overdrachtsbekostiging VSO 1 oktober</t>
  </si>
  <si>
    <t>Overdrachtsbekostiging VSO 1 februari</t>
  </si>
  <si>
    <t>Overdrachtsbekostiging LWOO</t>
  </si>
  <si>
    <t>Overdrachtsbekostiging PRO</t>
  </si>
  <si>
    <t>Generieke overdrachten</t>
  </si>
  <si>
    <t>Overige lasten personeel zonder verplichte afdrachten</t>
  </si>
  <si>
    <t>in het voorafgaande schooljaar na 1 oktober T-1 en voor 2 februari T bij de (V)SO-school zijn ingeschreven.</t>
  </si>
  <si>
    <t xml:space="preserve">In het geval van een 'negatieve' groei op basis van de peildatum van de gezamenlijke vestigingen van een school in een bepaald SWV </t>
  </si>
  <si>
    <t>geldt dat geen terugbetaling door de school hoeft plaats te vinden. Dat geldt voor 'pers' resp. 'mat' afzonderlijk.</t>
  </si>
  <si>
    <t>Overgangsbudget opgave in werkblad geg ll</t>
  </si>
  <si>
    <t>Generieke toekenning aan besturen/scholen</t>
  </si>
  <si>
    <t>Leerlingprognose VSO op teldatum 1 okt T-1</t>
  </si>
  <si>
    <t>Saldo liquide middelen 31 dec T-1</t>
  </si>
  <si>
    <t>Totaal ondersteuningsbekostiging LWOO M en PRO M</t>
  </si>
  <si>
    <t>totale lasten</t>
  </si>
  <si>
    <t xml:space="preserve">Daarnaast zijn er enkele verborgen werkbladen die alleen berekeningen bevatten maar wel informatieve waarde hebben. Dat zijn </t>
  </si>
  <si>
    <t xml:space="preserve"> - werkblad overdr VSO</t>
  </si>
  <si>
    <t>Het meestal grote aantal VSO-scholen dat bij het SWV betrokken is, vergt een zorgvuldige registratie.</t>
  </si>
  <si>
    <t>Werkblad 'geg'</t>
  </si>
  <si>
    <t>Voor het berekenen van de bekostiging voor de Lichte resp. Zware Ondersteuning en de overdrachtsverplichtingen aan het VSO kan volstaan</t>
  </si>
  <si>
    <t xml:space="preserve"> worden met de invulling van dit werkblad. </t>
  </si>
  <si>
    <r>
      <t xml:space="preserve">van het </t>
    </r>
    <r>
      <rPr>
        <u/>
        <sz val="10"/>
        <rFont val="Calibri"/>
        <family val="2"/>
      </rPr>
      <t>fictieve</t>
    </r>
    <r>
      <rPr>
        <sz val="10"/>
        <rFont val="Calibri"/>
        <family val="2"/>
      </rPr>
      <t xml:space="preserve"> aantal leerlingen LWOO resp. PRO dat de grondslag vormt voor de bekostiging van het samenwerkingsverband vanaf </t>
    </r>
  </si>
  <si>
    <r>
      <t>Percentages ll VSO 1 oktober T-1:</t>
    </r>
    <r>
      <rPr>
        <sz val="10"/>
        <rFont val="Calibri"/>
        <family val="2"/>
      </rPr>
      <t xml:space="preserve"> De verwijzingspercentages worden hier berekend per categorie en totaal. Ook zijn hier de laatst bekende </t>
    </r>
  </si>
  <si>
    <t>Zowel de overdrachtsverplichting als de omvang van de uitputting wordt overgebracht naar het werkblad 'pers' (vanaf rij 17) resp. 'mat' (vanaf rij 16).</t>
  </si>
  <si>
    <t>Werkblad 'overdracht VSO' (verborgen)</t>
  </si>
  <si>
    <t>Werkblad 'peildatum VSO' (verborgen)</t>
  </si>
  <si>
    <t>de overige baten en lasten LO en ZO weergegeven, waaronder kosten van arrangementen en de omvang van de afspraken over de herbestedings-</t>
  </si>
  <si>
    <t>verplichtingen. Die laatste twee bedragen dienen door u ingevuld te worden o.b.v. de gemaakte afspraken.</t>
  </si>
  <si>
    <t xml:space="preserve">De lichte ondersteuning is nader uitgesplitst in Lichte ondersteuning, LWOO en PRO. </t>
  </si>
  <si>
    <t xml:space="preserve">Omdat de zware ondersteuning per schooljaar wordt toegekend en niet per kalenderjaar wordt deze toekenning omgerekend naar kalenderjaar, waarin </t>
  </si>
  <si>
    <t xml:space="preserve"> - werkblad peild VSO</t>
  </si>
  <si>
    <t>Correctiebedrag personeel 100%</t>
  </si>
  <si>
    <t>Correctiebedrag materieel 100%</t>
  </si>
  <si>
    <t>Voor bepaling overgangsbudget SWV Zware Ondersteuning</t>
  </si>
  <si>
    <t>extra</t>
  </si>
  <si>
    <t>Prognose aantal leerlingen - Open Onderwijsdata - DUO</t>
  </si>
  <si>
    <t>waarvan Rijksbijdragen lichte ondersteuning</t>
  </si>
  <si>
    <t>waarvan Rijksbijdragen zware ondersteuning</t>
  </si>
  <si>
    <t>waarvan overige overheidsbijdragen lichte ondersteuning</t>
  </si>
  <si>
    <t>waarvan overige overheidsbijdragen zware ondersteuning</t>
  </si>
  <si>
    <t>Verplichte afdrachten aan VSO-instellingen</t>
  </si>
  <si>
    <t>Doorbetaling aan VSO o.b.v. 1 februari</t>
  </si>
  <si>
    <t>Doorbetaling aan LWOO</t>
  </si>
  <si>
    <t>Doorbetaling aan PRO</t>
  </si>
  <si>
    <t>Overige doorbetalingen aan schoolbesturen</t>
  </si>
  <si>
    <t>Programma's</t>
  </si>
  <si>
    <t>programma 2</t>
  </si>
  <si>
    <t>programma 3</t>
  </si>
  <si>
    <t>programma 4</t>
  </si>
  <si>
    <t>programma 5</t>
  </si>
  <si>
    <t>programma 6</t>
  </si>
  <si>
    <t>programma 7</t>
  </si>
  <si>
    <t>programma 8</t>
  </si>
  <si>
    <t>programma 9</t>
  </si>
  <si>
    <t>programma 10</t>
  </si>
  <si>
    <t>arrangementen</t>
  </si>
  <si>
    <t>Naar schooljaar</t>
  </si>
  <si>
    <t>(de overdrachten vallen onder de lasten)</t>
  </si>
  <si>
    <t>Generieke overdrachten aan schoolbesturen</t>
  </si>
  <si>
    <t>programma 1 Arrangementen</t>
  </si>
  <si>
    <t>Overige personeelslasten</t>
  </si>
  <si>
    <t>2025/26</t>
  </si>
  <si>
    <t>Zodra nieuwe bedragen bekend worden, kunnen die overgenomen worden in dit werkblad. Bij ingrijpende veranderingen zal een bijgestelde versie</t>
  </si>
  <si>
    <t xml:space="preserve">van dit instrument beschikbaar worden gesteld. </t>
  </si>
  <si>
    <t>voorlopige cijfers</t>
  </si>
  <si>
    <t>voorlopige cijfers:</t>
  </si>
  <si>
    <t xml:space="preserve">De PO- en de VO-Raad adviseren om toch een complete bekostiging toe te kennen, ook voor de extra leerlingen die </t>
  </si>
  <si>
    <t xml:space="preserve">Er geldt voor het SWV geen wettelijke overdrachtsverplichting op de peildatum voor de materiële exploitatie aan de school voor (V)SO. </t>
  </si>
  <si>
    <t>SPECIFICATIE PROGRAMMA'S</t>
  </si>
  <si>
    <t>2018-2019</t>
  </si>
  <si>
    <r>
      <t xml:space="preserve">Bepaling percentage LWOO-leerlingen en PRO-leerlingen per </t>
    </r>
    <r>
      <rPr>
        <b/>
        <sz val="10"/>
        <rFont val="Calibri"/>
        <family val="2"/>
      </rPr>
      <t>1 okt. 2012</t>
    </r>
    <r>
      <rPr>
        <sz val="10"/>
        <rFont val="Calibri"/>
        <family val="2"/>
      </rPr>
      <t xml:space="preserve"> voor berekening bekostigd aantal leerlingen:</t>
    </r>
  </si>
  <si>
    <t>Rijksbijdrage OCW zware ondersteuning incl. uitputtingsbijdrage</t>
  </si>
  <si>
    <t>PEILDATUM: OVERDRACHTSVERPLICHTING AAN VSO EN BEREKENING EVENTUELE UITPUTTING</t>
  </si>
  <si>
    <t>programma's</t>
  </si>
  <si>
    <t>Overige lasten (incl. programma's)</t>
  </si>
  <si>
    <t>Rijksbijdrage OCW zware ondersteuning inc. uitputting</t>
  </si>
  <si>
    <t>Rijksbijdragen OCW (incl. bijdrage uitputting van besturen)</t>
  </si>
  <si>
    <t xml:space="preserve">Rijksbijdragen (incl. bijdragen besturen uitputting) </t>
  </si>
  <si>
    <t>Overige generieke doorbetalingen aan schoolbesturen</t>
  </si>
  <si>
    <t xml:space="preserve">KENGETALLEN </t>
  </si>
  <si>
    <t xml:space="preserve">m.b.t. de staat van baten en lasten en de balans, terwijl apart aandacht is besteed aan de weergave voor XBRL. </t>
  </si>
  <si>
    <t>De kalenderjaarbegroting wordt ook weergegeven in de vorm van een schooljaarbegroting.</t>
  </si>
  <si>
    <t xml:space="preserve">Voor de bepaling van het overgangsbudget vult u de vereveningsbedragen 100% in die OCW/DUO voor u heeft vastgesteld voor het schooljaar </t>
  </si>
  <si>
    <t>(rij 156) o.b.v. de Kijkdoos SWV VO.</t>
  </si>
  <si>
    <t>de verevening meteen ook is verwerkt. Rij 228 en volgende per schooljaar en in rij 203 naar kalenderjaar.</t>
  </si>
  <si>
    <t>Onderaan de pagina, vanaf rij 189, is verkort de weergave van de baten en lasten zowel naar kalenderjaar als naar schooljaar weergegeven.</t>
  </si>
  <si>
    <t>Vanaf rij 170 worden de gegevens verwerkt die u in het werkblad 'programma's' per programma voor materiële uitgaven hebt opgegeven.</t>
  </si>
  <si>
    <t>Werkblad 'programma's'</t>
  </si>
  <si>
    <t>In dit werkblad worden de gegevens in verband met specifieke programma's verwerkt. Denk hierbij aan o.a. projectactiviteiten van meer tijdelijke aard.</t>
  </si>
  <si>
    <t>Hierbij worden lasten per programma onderscheiden naar personeel en materieel conform de aanduiding van het programma in werkblad 'pers'.</t>
  </si>
  <si>
    <t>De hier vermelde opgaven worden verwerkt in de werkbladen 'pers' en 'mat' bij programma's.</t>
  </si>
  <si>
    <t>(gedurende tenminste de komende vijf jaren) in kaart worden gebracht.</t>
  </si>
  <si>
    <t>Het onderscheid LO en ZO is hierbij niet reëel en is daarom achterwege gebleven.</t>
  </si>
  <si>
    <t>In dit werkblad wordt de Staat van Baten en Lasten integraal weergegeven. Vrijwel alle gegevens worden ontleend aan de hiervoor ingevulde</t>
  </si>
  <si>
    <t>De indeling van de Staat van Baten en Lasten volgt de nu geldende voorschriften omtrent de jaarrekening.</t>
  </si>
  <si>
    <t>Het samenwerkingsverband hoeft er niet rijk van te worden, maar evenmin een schoolbestuur of andere werkgever of een uitzendbureau.</t>
  </si>
  <si>
    <t>Salaristabellen personeel</t>
  </si>
  <si>
    <t>cao verhoging</t>
  </si>
  <si>
    <t>plus art. 3.8: bruto 31 euro per maand</t>
  </si>
  <si>
    <t>verhoging</t>
  </si>
  <si>
    <t>2026/27</t>
  </si>
  <si>
    <t>Kosten jubilea t.l.v. voorziening</t>
  </si>
  <si>
    <t xml:space="preserve">Het instrument volgt de compartimentering van de lichte en de zware ondersteuning (LO resp. ZO) zoals die in de wet is aangegeven. Daarom worden de </t>
  </si>
  <si>
    <t>De 'overall' verwerking in de begroting en de balans ed. is zonder die opsplitsing.</t>
  </si>
  <si>
    <t xml:space="preserve">Dit wordt omgerekend in een bedrag per leerling SWV. </t>
  </si>
  <si>
    <t xml:space="preserve">leerlingen dat tot dit verband moet worden gerekend. </t>
  </si>
  <si>
    <t xml:space="preserve">Dit betreft de uitputting die aan de orde kan zijn per 1 okt. T-1 (verrekening door DUO) alswel de uitputting die aan de orde kan zijn op basis van de </t>
  </si>
  <si>
    <r>
      <t>peildatum (</t>
    </r>
    <r>
      <rPr>
        <i/>
        <sz val="10"/>
        <rFont val="Calibri"/>
        <family val="2"/>
      </rPr>
      <t>verrekening door het SWV zelf!</t>
    </r>
    <r>
      <rPr>
        <sz val="10"/>
        <rFont val="Calibri"/>
        <family val="2"/>
      </rPr>
      <t xml:space="preserve">). De uitputting wordt vastgesteld voor de personele resp. materiële kosten afzonderlijk omdat het </t>
    </r>
  </si>
  <si>
    <t xml:space="preserve">mogelijk is dat er een bijdrage moet worden geleverd voor bijv. de personele uitputting terwijl er voor materiële uitgaven nog een positief saldo is </t>
  </si>
  <si>
    <t xml:space="preserve">bij het SWV in de berekening van de materiële uitputting. </t>
  </si>
  <si>
    <t xml:space="preserve">De onderbrenging van LWOO en PRO  in het samenwerkingsverband is compleet in dit instrument opgenomen. De gewijzigde bekostiging is per </t>
  </si>
  <si>
    <t xml:space="preserve">1 jan. 2016 ingegaan en daarbij kan sprake zijn van uitputting voor LWOO resp. PRO. Ook deze berekeningen zijn verwerkt en opgenomen in het </t>
  </si>
  <si>
    <t>werkblad LWOO-PRO. Het onderscheid personeel en materieel is voor de baten van de lichte ondersteuning volledig doorgevoerd.</t>
  </si>
  <si>
    <r>
      <t>Percentages ll VO 1 oktober T-1:</t>
    </r>
    <r>
      <rPr>
        <sz val="10"/>
        <rFont val="Calibri"/>
        <family val="2"/>
      </rPr>
      <t xml:space="preserve"> Het percentage wordt hier berekend per soort leerlingen. Ook zijn de laatst bekende landelijke percentages </t>
    </r>
  </si>
  <si>
    <t xml:space="preserve">Vanaf rij 160 kunt u de programma's in het SWV definiëren en die in het werkblad 'programma's' nader specificeren naar P en M. De uitgaven m.b.t. </t>
  </si>
  <si>
    <t>M worden dan in het werkblad 'mat' verwerkt.</t>
  </si>
  <si>
    <r>
      <t xml:space="preserve">een </t>
    </r>
    <r>
      <rPr>
        <b/>
        <u/>
        <sz val="10"/>
        <rFont val="Calibri"/>
        <family val="2"/>
      </rPr>
      <t>raming</t>
    </r>
    <r>
      <rPr>
        <sz val="10"/>
        <rFont val="Calibri"/>
        <family val="2"/>
      </rPr>
      <t xml:space="preserve"> van de werkgevers</t>
    </r>
    <r>
      <rPr>
        <b/>
        <sz val="10"/>
        <rFont val="Calibri"/>
        <family val="2"/>
      </rPr>
      <t>lasten</t>
    </r>
    <r>
      <rPr>
        <sz val="10"/>
        <rFont val="Calibri"/>
        <family val="2"/>
      </rPr>
      <t>. Onderdeel van de berekening is ook de afzonderlijk berekende en zichtbare LeeftijdFase Bewust (LFB) verlof-</t>
    </r>
  </si>
  <si>
    <t xml:space="preserve">kosten als daar sprake van is. Daartoe moeten de verschillende uren verlof worden ingevuld in de betreffende kolommen. </t>
  </si>
  <si>
    <t xml:space="preserve">Het geeft ook het materiële ondersteuningsbedrag dat per school wordt berekend en toegekend wordt aan het samenwerkingsverband per </t>
  </si>
  <si>
    <t xml:space="preserve">kalenderjaar. De uitgaven aan scholen kunnen hier gespecificeerd worden. Iemand met ervaring in Excel kan een eigen regeling van het SWV  </t>
  </si>
  <si>
    <t>In dit werkblad kunnen de gegevens per school worden opgegeven. De invoering van de feitelijke leerlingaantallen per 1 oktober geeft de berekening</t>
  </si>
  <si>
    <t xml:space="preserve">van het personele budget LO dat - per school berekend - naar het samenwerkingsverband gaat. </t>
  </si>
  <si>
    <t xml:space="preserve">kalenderjaar. De uitgaven aan scholen kunnen hier gespecificeerd worden. Iemand met ervaring in Excel kan een eigen regeling van het SWV </t>
  </si>
  <si>
    <r>
      <t>worden ook de geraamde werkgeverslasten zichtbaar gemaakt. Die zijn in dit model geraamd zoals in het werkblad 'tab' is opgenomen</t>
    </r>
    <r>
      <rPr>
        <sz val="10"/>
        <rFont val="Calibri"/>
        <family val="2"/>
      </rPr>
      <t xml:space="preserve">, maar het </t>
    </r>
  </si>
  <si>
    <r>
      <t>wordt dringend aangeraden het percentage zelf te berekenen voor de eigen situatie</t>
    </r>
    <r>
      <rPr>
        <sz val="10"/>
        <rFont val="Calibri"/>
        <family val="2"/>
      </rPr>
      <t xml:space="preserve"> omdat dit een nogal groot effect kan hebben. Buiten beeld </t>
    </r>
  </si>
  <si>
    <t xml:space="preserve">blijven dan de 'kosten van vervanging en de uitkering' (~ 6%) en nog de eventuele 'overhead'-kosten van incidentele of specifieke aard en kosten die </t>
  </si>
  <si>
    <t>verband houden met huisvesting, administratie, personeelsbeleid e.d.</t>
  </si>
  <si>
    <t>2019-2020</t>
  </si>
  <si>
    <t>De financiële informatie over de VSO-school is voor iedereen beschikbaar via de website van DUO onder instellingsinformatie.</t>
  </si>
  <si>
    <t xml:space="preserve">op 80% i.p.v. 75%. Is er sprake van een negatief overgangsbudget dan zijn de percentages 90 en 75% van toepassing. Daarna 60% en een jaar later 30%. </t>
  </si>
  <si>
    <t xml:space="preserve">Ook worden diverse ontwikkelingen geïndexeerd met als vertrekpunt het kalenderjaar 2018. Die signaleren tendensen die al dan niet </t>
  </si>
  <si>
    <r>
      <t xml:space="preserve">opgenomen. Het percentage leerlingen LWOO resp. PRO wordt berekend op basis van de telling 1 okt. 2012: </t>
    </r>
    <r>
      <rPr>
        <sz val="10"/>
        <rFont val="Calibri"/>
        <family val="2"/>
      </rPr>
      <t xml:space="preserve">Dat aandeel leerlingen is nog steeds (!!) </t>
    </r>
  </si>
  <si>
    <t xml:space="preserve">bepalend voor de berekening voor het kalenderjaar 2016 en volgende zolang er nog steeds geen nieuwe systematiek is vastgesteld.. </t>
  </si>
  <si>
    <t xml:space="preserve">de eventuele uitputting weergegeven waarvan sprake is per 1 oktober resp. de peildatum van de personele resp. de materiële bekostiging. </t>
  </si>
  <si>
    <t>2020-2021</t>
  </si>
  <si>
    <t>Meerjarenbegroting Samenwerkingsverband Passend Onderwijs VO 2021</t>
  </si>
  <si>
    <t>Aantal leerlingen LWOO en PRO</t>
  </si>
  <si>
    <t>Vanaf rij 95 de leerlingaantallen per school en per categorie invullen.</t>
  </si>
  <si>
    <t>Voorbeeld SWV VO Alkmaar</t>
  </si>
  <si>
    <t>VO2703</t>
  </si>
  <si>
    <t>plus min. loon naar 1635,60</t>
  </si>
  <si>
    <t>cao VO 2020</t>
  </si>
  <si>
    <t>wordt 12 regels</t>
  </si>
  <si>
    <t>Eenmalige bruto-uitkering juni 2020</t>
  </si>
  <si>
    <t>eenmalige bruto-uitkering juni 2020</t>
  </si>
  <si>
    <t>Overgangsbudget SWV ZO Pers verevening</t>
  </si>
  <si>
    <t>De salaristabellen zijn opgenomen zoals vastgesteld in de laatste cao vo.</t>
  </si>
  <si>
    <r>
      <t xml:space="preserve">Het percentage dat geldt voor de </t>
    </r>
    <r>
      <rPr>
        <u/>
        <sz val="10"/>
        <rFont val="Calibri"/>
        <family val="2"/>
      </rPr>
      <t>afbouw van het positieve overgangsbudget</t>
    </r>
    <r>
      <rPr>
        <sz val="10"/>
        <rFont val="Calibri"/>
        <family val="2"/>
      </rPr>
      <t xml:space="preserve"> in 2016-2017 is gesteld op 95% i.p.v. 90% en in 2017-2018 gesteld</t>
    </r>
  </si>
  <si>
    <t>Dit is het instrument voor de meerjarenbegroting van het SWV Passend Onderwijs VO voor het kalenderjaar 2021.</t>
  </si>
  <si>
    <r>
      <t xml:space="preserve">Het </t>
    </r>
    <r>
      <rPr>
        <b/>
        <sz val="10"/>
        <color indexed="60"/>
        <rFont val="Calibri"/>
        <family val="2"/>
      </rPr>
      <t>wachtwoord</t>
    </r>
    <r>
      <rPr>
        <sz val="10"/>
        <color indexed="60"/>
        <rFont val="Calibri"/>
        <family val="2"/>
      </rPr>
      <t xml:space="preserve"> </t>
    </r>
    <r>
      <rPr>
        <sz val="10"/>
        <rFont val="Calibri"/>
        <family val="2"/>
      </rPr>
      <t xml:space="preserve">dat voor elk werkblad van toepassing is, luidt:   </t>
    </r>
    <r>
      <rPr>
        <b/>
        <sz val="10"/>
        <rFont val="Calibri"/>
        <family val="2"/>
      </rPr>
      <t>voraad</t>
    </r>
  </si>
  <si>
    <t>de peildatum waarvoor die overdrachtsverplichting geldt conform de opgave daarvan in het werkblad 'pers' (rij 143)  resp. het werkblad 'mat'</t>
  </si>
  <si>
    <t>De voorlopige bedragen voor 2020-2021 (Regeling personele kosten PO 20-21 van 4 sept. 2020) zijn opgenomen evenals de definitieve bedragen</t>
  </si>
  <si>
    <t>voor 2019-2020 (Regeling personele kosten PO 19-20 van juli 2020).</t>
  </si>
  <si>
    <t xml:space="preserve">De ingrijpende systeemwijziging m.b.t. LWOO en PRO is verwerkt. </t>
  </si>
  <si>
    <t xml:space="preserve">Bekostiging exploitatiekosten VO voor 2020 is t.o.v. de eerdere bedragen verhoogd naar 14,87. Dat bedrag van € 14,87 geldt voorlopig ook voor 2021. </t>
  </si>
  <si>
    <t xml:space="preserve">2015-2016 (P) in cel D35 voor Bekostiging personeel, resp. cel D39 voor Bekostiging Materieel. </t>
  </si>
  <si>
    <t>De overgangsbekostiging is gestopt voor 2020-2021 (P) en voor 2020 (M).</t>
  </si>
  <si>
    <t>De regeling bekostiging exploitatiekosten vo  en regeling vaststelling bedragen landelijke GPL vo voor 2020 en 2021 is verwerkt.</t>
  </si>
  <si>
    <t xml:space="preserve">Voor de materiële exploitatie VSO (Londo) betreft het de bedragen voor 2021 van sept. 2020 (identiek aan de publicatie van 8 okt. 2020). </t>
  </si>
  <si>
    <t xml:space="preserve">Het indexeringspercentage is 1,2%, in cel 'tab' I49. </t>
  </si>
  <si>
    <t>2021-2022</t>
  </si>
  <si>
    <t>cao nieuwe schaal 12</t>
  </si>
  <si>
    <t>Update van versie sept2020:</t>
  </si>
  <si>
    <t xml:space="preserve"> - alle nieuwe bedragen van de tweede regeling personele bekostiging PO van juli 2021 in het werkblad 'tab' zijn opgenomen, plus index MI 2021 van 1,2%.</t>
  </si>
  <si>
    <t xml:space="preserve"> - de nieuwe bedragen P en M van het VO voor 2021 van de publicatie Stcrt 2021, nr. 35369 d.d. 14 juli 2021 zijn verwerkt.</t>
  </si>
  <si>
    <t xml:space="preserve">De bekostigingsdata zijn bijgewerkt t/m juli 2021 evenals de kengetallen i.v.m. de materiële en de </t>
  </si>
  <si>
    <t xml:space="preserve">De materiële bekostiging voor LWOO en PRO voor 2021 is verhoogd naar € 15,21. Die voor VSO voor 2021 is sept. 2020 verhoogd (+1,20%). </t>
  </si>
  <si>
    <t>Voor het jaarverslag geldt dat de verplichte overdrachten en de generieke afdrachten als lasten worden geboekt.</t>
  </si>
  <si>
    <t xml:space="preserve">Daardoor blijft de begroting (V)SO als zodanig buiten beeld. Die wordt als instrument MJB (V)SO via de website Steunpunt passend onderwijs </t>
  </si>
  <si>
    <t>beschikbaar gesteld.</t>
  </si>
  <si>
    <t>Aantal VAVO-TG leerlingen SWV VO lichte ondersteuning</t>
  </si>
  <si>
    <t>Aantal Nieuwkomers</t>
  </si>
  <si>
    <t xml:space="preserve">Correctiebedrag verevening personeel SWV (vgl. 1-10-2011) </t>
  </si>
  <si>
    <t>inventaris en apparatuur</t>
  </si>
  <si>
    <t>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</si>
</sst>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2" formatCode="_ &quot;€&quot;\ * #,##0_ ;_ &quot;€&quot;\ * \-#,##0_ ;_ &quot;€&quot;\ * &quot;-&quot;_ ;_ @_ "/>
    <numFmt numFmtId="44" formatCode="_ &quot;€&quot;\ * #,##0.00_ ;_ &quot;€&quot;\ * \-#,##0.00_ ;_ &quot;€&quot;\ * &quot;-&quot;??_ ;_ @_ "/>
    <numFmt numFmtId="164" formatCode="_-&quot;€&quot;\ * #,##0_-;_-&quot;€&quot;\ * #,##0\-;_-&quot;€&quot;\ * &quot;-&quot;_-;_-@_-"/>
    <numFmt numFmtId="165" formatCode="_-&quot;€&quot;\ * #,##0.00_-;_-&quot;€&quot;\ * #,##0.00\-;_-&quot;€&quot;\ * &quot;-&quot;??_-;_-@_-"/>
    <numFmt numFmtId="166" formatCode="_(&quot;€&quot;\ * #,##0_);_(&quot;€&quot;\ * \(#,##0\);_(&quot;€&quot;\ * &quot;-&quot;_);_(@_)"/>
    <numFmt numFmtId="167" formatCode="_(&quot;€&quot;\ * #,##0.00_);_(&quot;€&quot;\ * \(#,##0.00\);_(&quot;€&quot;\ * &quot;-&quot;??_);_(@_)"/>
    <numFmt numFmtId="168" formatCode="_-&quot;fl&quot;\ * #,##0.00_-;_-&quot;fl&quot;\ * #,##0.00\-;_-&quot;fl&quot;\ * &quot;-&quot;??_-;_-@_-"/>
    <numFmt numFmtId="169" formatCode="0.0000"/>
    <numFmt numFmtId="170" formatCode="_-&quot;€&quot;\ * #,##0_-;_-&quot;€&quot;\ * #,##0\-;_-&quot;€&quot;\ * &quot;-&quot;??_-;_-@_-"/>
    <numFmt numFmtId="171" formatCode="&quot;€&quot;\ #,##0_-"/>
    <numFmt numFmtId="172" formatCode="#,##0_ ;\-#,##0\ "/>
    <numFmt numFmtId="173" formatCode="0.0%"/>
    <numFmt numFmtId="174" formatCode="dd/mm/yy"/>
    <numFmt numFmtId="175" formatCode="d\ mmmm\ yyyy"/>
    <numFmt numFmtId="176" formatCode="[$-413]d/mmm/yy;@"/>
    <numFmt numFmtId="177" formatCode="0.0000%"/>
    <numFmt numFmtId="178" formatCode="#,##0.00_ ;\-#,##0.00\ "/>
    <numFmt numFmtId="179" formatCode="&quot;€&quot;\ #,##0.00_-"/>
    <numFmt numFmtId="180" formatCode="0_ ;\-0\ "/>
    <numFmt numFmtId="181" formatCode="0.0"/>
    <numFmt numFmtId="182" formatCode="_(&quot;€&quot;* #,##0_);_(&quot;€&quot;* \(#,##0\);_(&quot;€&quot;* &quot;-&quot;_);_(@_)"/>
    <numFmt numFmtId="183" formatCode="_(&quot;€&quot;* #,##0.00_);_(&quot;€&quot;* \(#,##0.00\);_(&quot;€&quot;* &quot;-&quot;??_);_(@_)"/>
    <numFmt numFmtId="184" formatCode="0.000%"/>
    <numFmt numFmtId="185" formatCode="0.000000"/>
    <numFmt numFmtId="186" formatCode="#,##0.0"/>
    <numFmt numFmtId="187" formatCode="#,##0.000000000_ ;\-#,##0.000000000\ "/>
    <numFmt numFmtId="188" formatCode="[$-413]d\ mmmm\ yyyy;@"/>
  </numFmts>
  <fonts count="149" x14ac:knownFonts="1">
    <font>
      <sz val="10"/>
      <name val="Arial"/>
    </font>
    <font>
      <sz val="10"/>
      <name val="Arial"/>
      <family val="2"/>
    </font>
    <font>
      <sz val="8"/>
      <color indexed="81"/>
      <name val="Tahoma"/>
      <family val="2"/>
    </font>
    <font>
      <sz val="9"/>
      <color indexed="81"/>
      <name val="Tahoma"/>
      <family val="2"/>
    </font>
    <font>
      <u/>
      <sz val="10"/>
      <color indexed="12"/>
      <name val="Arial"/>
      <family val="2"/>
    </font>
    <font>
      <sz val="8"/>
      <name val="Arial"/>
      <family val="2"/>
    </font>
    <font>
      <sz val="10"/>
      <name val="Calibri"/>
      <family val="2"/>
    </font>
    <font>
      <b/>
      <sz val="10"/>
      <name val="Calibri"/>
      <family val="2"/>
    </font>
    <font>
      <b/>
      <sz val="10"/>
      <color indexed="10"/>
      <name val="Calibri"/>
      <family val="2"/>
    </font>
    <font>
      <b/>
      <u/>
      <sz val="10"/>
      <name val="Calibri"/>
      <family val="2"/>
    </font>
    <font>
      <b/>
      <sz val="12"/>
      <name val="Calibri"/>
      <family val="2"/>
    </font>
    <font>
      <sz val="10"/>
      <name val="Calibri"/>
      <family val="2"/>
    </font>
    <font>
      <b/>
      <sz val="10"/>
      <name val="Calibri"/>
      <family val="2"/>
    </font>
    <font>
      <b/>
      <i/>
      <sz val="10"/>
      <name val="Calibri"/>
      <family val="2"/>
    </font>
    <font>
      <b/>
      <sz val="14"/>
      <name val="Calibri"/>
      <family val="2"/>
    </font>
    <font>
      <i/>
      <sz val="10"/>
      <name val="Calibri"/>
      <family val="2"/>
    </font>
    <font>
      <sz val="14"/>
      <name val="Calibri"/>
      <family val="2"/>
    </font>
    <font>
      <sz val="12"/>
      <name val="Calibri"/>
      <family val="2"/>
    </font>
    <font>
      <sz val="11"/>
      <name val="Calibri"/>
      <family val="2"/>
    </font>
    <font>
      <b/>
      <sz val="11"/>
      <name val="Calibri"/>
      <family val="2"/>
    </font>
    <font>
      <b/>
      <i/>
      <sz val="12"/>
      <name val="Calibri"/>
      <family val="2"/>
    </font>
    <font>
      <i/>
      <sz val="10"/>
      <color indexed="10"/>
      <name val="Calibri"/>
      <family val="2"/>
    </font>
    <font>
      <b/>
      <i/>
      <sz val="10"/>
      <color indexed="10"/>
      <name val="Calibri"/>
      <family val="2"/>
    </font>
    <font>
      <b/>
      <sz val="14"/>
      <color indexed="10"/>
      <name val="Calibri"/>
      <family val="2"/>
    </font>
    <font>
      <b/>
      <sz val="10"/>
      <color indexed="10"/>
      <name val="Calibri"/>
      <family val="2"/>
    </font>
    <font>
      <sz val="10"/>
      <color indexed="10"/>
      <name val="Calibri"/>
      <family val="2"/>
    </font>
    <font>
      <sz val="14"/>
      <color indexed="10"/>
      <name val="Calibri"/>
      <family val="2"/>
    </font>
    <font>
      <b/>
      <i/>
      <sz val="14"/>
      <color indexed="10"/>
      <name val="Calibri"/>
      <family val="2"/>
    </font>
    <font>
      <i/>
      <sz val="14"/>
      <color indexed="10"/>
      <name val="Calibri"/>
      <family val="2"/>
    </font>
    <font>
      <sz val="8"/>
      <name val="Calibri"/>
      <family val="2"/>
    </font>
    <font>
      <i/>
      <sz val="10"/>
      <color indexed="62"/>
      <name val="Calibri"/>
      <family val="2"/>
    </font>
    <font>
      <sz val="10"/>
      <color indexed="62"/>
      <name val="Calibri"/>
      <family val="2"/>
    </font>
    <font>
      <b/>
      <i/>
      <sz val="14"/>
      <name val="Calibri"/>
      <family val="2"/>
    </font>
    <font>
      <b/>
      <sz val="10"/>
      <color indexed="62"/>
      <name val="Calibri"/>
      <family val="2"/>
    </font>
    <font>
      <b/>
      <sz val="10"/>
      <color indexed="9"/>
      <name val="Calibri"/>
      <family val="2"/>
    </font>
    <font>
      <sz val="10"/>
      <color indexed="12"/>
      <name val="Calibri"/>
      <family val="2"/>
    </font>
    <font>
      <b/>
      <sz val="14"/>
      <color indexed="60"/>
      <name val="Calibri"/>
      <family val="2"/>
    </font>
    <font>
      <i/>
      <sz val="10"/>
      <color indexed="60"/>
      <name val="Calibri"/>
      <family val="2"/>
    </font>
    <font>
      <sz val="10"/>
      <color indexed="60"/>
      <name val="Calibri"/>
      <family val="2"/>
    </font>
    <font>
      <b/>
      <i/>
      <sz val="10"/>
      <color indexed="60"/>
      <name val="Calibri"/>
      <family val="2"/>
    </font>
    <font>
      <b/>
      <sz val="10"/>
      <color indexed="60"/>
      <name val="Calibri"/>
      <family val="2"/>
    </font>
    <font>
      <b/>
      <i/>
      <sz val="10"/>
      <color indexed="9"/>
      <name val="Calibri"/>
      <family val="2"/>
    </font>
    <font>
      <sz val="10"/>
      <color indexed="9"/>
      <name val="Calibri"/>
      <family val="2"/>
    </font>
    <font>
      <b/>
      <sz val="10"/>
      <color indexed="9"/>
      <name val="Calibri"/>
      <family val="2"/>
    </font>
    <font>
      <i/>
      <sz val="10"/>
      <color indexed="9"/>
      <name val="Calibri"/>
      <family val="2"/>
    </font>
    <font>
      <sz val="10"/>
      <color indexed="81"/>
      <name val="Tahoma"/>
      <family val="2"/>
    </font>
    <font>
      <sz val="10"/>
      <color indexed="30"/>
      <name val="Calibri"/>
      <family val="2"/>
    </font>
    <font>
      <sz val="8"/>
      <name val="Arial"/>
      <family val="2"/>
    </font>
    <font>
      <sz val="10"/>
      <color indexed="22"/>
      <name val="Calibri"/>
      <family val="2"/>
    </font>
    <font>
      <b/>
      <sz val="10"/>
      <color indexed="60"/>
      <name val="Calibri"/>
      <family val="2"/>
    </font>
    <font>
      <b/>
      <sz val="14"/>
      <color indexed="60"/>
      <name val="Calibri"/>
      <family val="2"/>
    </font>
    <font>
      <b/>
      <sz val="10"/>
      <color indexed="9"/>
      <name val="Calibri"/>
      <family val="2"/>
    </font>
    <font>
      <b/>
      <i/>
      <sz val="10"/>
      <color indexed="9"/>
      <name val="Calibri"/>
      <family val="2"/>
    </font>
    <font>
      <sz val="10"/>
      <color indexed="60"/>
      <name val="Calibri"/>
      <family val="2"/>
    </font>
    <font>
      <i/>
      <sz val="10"/>
      <color indexed="60"/>
      <name val="Calibri"/>
      <family val="2"/>
    </font>
    <font>
      <b/>
      <i/>
      <sz val="10"/>
      <color indexed="60"/>
      <name val="Calibri"/>
      <family val="2"/>
    </font>
    <font>
      <b/>
      <i/>
      <sz val="10"/>
      <color indexed="22"/>
      <name val="Calibri"/>
      <family val="2"/>
    </font>
    <font>
      <b/>
      <sz val="9"/>
      <color indexed="81"/>
      <name val="Tahoma"/>
      <family val="2"/>
    </font>
    <font>
      <sz val="10"/>
      <color indexed="60"/>
      <name val="Calibri"/>
      <family val="2"/>
    </font>
    <font>
      <i/>
      <sz val="10"/>
      <color indexed="60"/>
      <name val="Calibri"/>
      <family val="2"/>
    </font>
    <font>
      <b/>
      <i/>
      <sz val="10"/>
      <color indexed="60"/>
      <name val="Calibri"/>
      <family val="2"/>
    </font>
    <font>
      <b/>
      <sz val="10"/>
      <color indexed="60"/>
      <name val="Calibri"/>
      <family val="2"/>
    </font>
    <font>
      <b/>
      <sz val="14"/>
      <color indexed="60"/>
      <name val="Calibri"/>
      <family val="2"/>
    </font>
    <font>
      <sz val="10"/>
      <color indexed="9"/>
      <name val="Calibri"/>
      <family val="2"/>
    </font>
    <font>
      <sz val="10"/>
      <color indexed="23"/>
      <name val="Calibri"/>
      <family val="2"/>
    </font>
    <font>
      <b/>
      <sz val="10"/>
      <color indexed="30"/>
      <name val="Calibri"/>
      <family val="2"/>
    </font>
    <font>
      <sz val="10"/>
      <color indexed="30"/>
      <name val="Calibri"/>
      <family val="2"/>
    </font>
    <font>
      <b/>
      <i/>
      <sz val="10"/>
      <color indexed="30"/>
      <name val="Calibri"/>
      <family val="2"/>
    </font>
    <font>
      <i/>
      <sz val="10"/>
      <color indexed="30"/>
      <name val="Calibri"/>
      <family val="2"/>
    </font>
    <font>
      <sz val="14"/>
      <color indexed="60"/>
      <name val="Calibri"/>
      <family val="2"/>
    </font>
    <font>
      <b/>
      <i/>
      <sz val="14"/>
      <color indexed="60"/>
      <name val="Calibri"/>
      <family val="2"/>
    </font>
    <font>
      <i/>
      <sz val="14"/>
      <color indexed="60"/>
      <name val="Calibri"/>
      <family val="2"/>
    </font>
    <font>
      <sz val="10"/>
      <color indexed="60"/>
      <name val="Arial"/>
      <family val="2"/>
    </font>
    <font>
      <b/>
      <sz val="10"/>
      <color indexed="9"/>
      <name val="Calibri"/>
      <family val="2"/>
    </font>
    <font>
      <sz val="10"/>
      <color indexed="10"/>
      <name val="Arial"/>
      <family val="2"/>
    </font>
    <font>
      <b/>
      <sz val="14"/>
      <name val="Arial"/>
      <family val="2"/>
    </font>
    <font>
      <b/>
      <sz val="10"/>
      <name val="Arial"/>
      <family val="2"/>
    </font>
    <font>
      <i/>
      <sz val="10"/>
      <color indexed="8"/>
      <name val="Calibri"/>
      <family val="2"/>
    </font>
    <font>
      <i/>
      <sz val="10"/>
      <color indexed="9"/>
      <name val="Calibri"/>
      <family val="2"/>
    </font>
    <font>
      <b/>
      <sz val="12"/>
      <color indexed="60"/>
      <name val="Calibri"/>
      <family val="2"/>
    </font>
    <font>
      <sz val="10"/>
      <color indexed="8"/>
      <name val="Calibri"/>
      <family val="2"/>
    </font>
    <font>
      <sz val="8"/>
      <name val="Arial"/>
      <family val="2"/>
    </font>
    <font>
      <b/>
      <sz val="10"/>
      <color indexed="60"/>
      <name val="Calibri"/>
      <family val="2"/>
    </font>
    <font>
      <b/>
      <i/>
      <sz val="10"/>
      <color indexed="60"/>
      <name val="Calibri"/>
      <family val="2"/>
    </font>
    <font>
      <b/>
      <sz val="10"/>
      <color indexed="9"/>
      <name val="Calibri"/>
      <family val="2"/>
    </font>
    <font>
      <sz val="10"/>
      <color indexed="60"/>
      <name val="Calibri"/>
      <family val="2"/>
    </font>
    <font>
      <i/>
      <sz val="10"/>
      <color indexed="60"/>
      <name val="Calibri"/>
      <family val="2"/>
    </font>
    <font>
      <b/>
      <sz val="14"/>
      <color indexed="60"/>
      <name val="Calibri"/>
      <family val="2"/>
    </font>
    <font>
      <sz val="10"/>
      <color theme="0"/>
      <name val="Calibri"/>
      <family val="2"/>
    </font>
    <font>
      <sz val="10"/>
      <name val="Calibri"/>
      <family val="2"/>
      <scheme val="minor"/>
    </font>
    <font>
      <b/>
      <i/>
      <sz val="10"/>
      <color theme="0"/>
      <name val="Calibri"/>
      <family val="2"/>
    </font>
    <font>
      <u/>
      <sz val="10"/>
      <color theme="0"/>
      <name val="Arial"/>
      <family val="2"/>
    </font>
    <font>
      <b/>
      <sz val="14"/>
      <color rgb="FFC00000"/>
      <name val="Calibri"/>
      <family val="2"/>
    </font>
    <font>
      <b/>
      <i/>
      <sz val="10"/>
      <color rgb="FFC00000"/>
      <name val="Calibri"/>
      <family val="2"/>
    </font>
    <font>
      <b/>
      <sz val="10"/>
      <color rgb="FFC00000"/>
      <name val="Calibri"/>
      <family val="2"/>
    </font>
    <font>
      <i/>
      <sz val="10"/>
      <color rgb="FFC00000"/>
      <name val="Calibri"/>
      <family val="2"/>
    </font>
    <font>
      <b/>
      <sz val="10"/>
      <color theme="0"/>
      <name val="Calibri"/>
      <family val="2"/>
    </font>
    <font>
      <i/>
      <sz val="10"/>
      <color rgb="FF0070C0"/>
      <name val="Calibri"/>
      <family val="2"/>
    </font>
    <font>
      <sz val="10"/>
      <color theme="0" tint="-4.9989318521683403E-2"/>
      <name val="Calibri"/>
      <family val="2"/>
    </font>
    <font>
      <sz val="10"/>
      <color rgb="FF0066CC"/>
      <name val="Calibri"/>
      <family val="2"/>
    </font>
    <font>
      <b/>
      <sz val="10"/>
      <color rgb="FFA40000"/>
      <name val="Calibri"/>
      <family val="2"/>
    </font>
    <font>
      <b/>
      <sz val="10"/>
      <name val="Calibri"/>
      <family val="2"/>
      <scheme val="minor"/>
    </font>
    <font>
      <b/>
      <i/>
      <sz val="12"/>
      <color indexed="60"/>
      <name val="Calibri"/>
      <family val="2"/>
    </font>
    <font>
      <sz val="10"/>
      <color rgb="FFFF0000"/>
      <name val="Calibri"/>
      <family val="2"/>
    </font>
    <font>
      <b/>
      <i/>
      <sz val="10"/>
      <color rgb="FFA40000"/>
      <name val="Calibri"/>
      <family val="2"/>
      <scheme val="minor"/>
    </font>
    <font>
      <b/>
      <sz val="14"/>
      <color rgb="FF993300"/>
      <name val="Calibri"/>
      <family val="2"/>
    </font>
    <font>
      <b/>
      <i/>
      <sz val="10"/>
      <color rgb="FF993300"/>
      <name val="Calibri"/>
      <family val="2"/>
      <scheme val="minor"/>
    </font>
    <font>
      <sz val="11"/>
      <name val="Calibri"/>
      <family val="2"/>
      <scheme val="minor"/>
    </font>
    <font>
      <b/>
      <sz val="11"/>
      <name val="Calibri"/>
      <family val="2"/>
      <scheme val="minor"/>
    </font>
    <font>
      <b/>
      <sz val="11"/>
      <color indexed="9"/>
      <name val="Calibri"/>
      <family val="2"/>
      <scheme val="minor"/>
    </font>
    <font>
      <b/>
      <i/>
      <sz val="11"/>
      <color rgb="FF993300"/>
      <name val="Calibri"/>
      <family val="2"/>
    </font>
    <font>
      <i/>
      <sz val="10"/>
      <color rgb="FF993300"/>
      <name val="Calibri"/>
      <family val="2"/>
    </font>
    <font>
      <b/>
      <i/>
      <sz val="10"/>
      <color rgb="FF993300"/>
      <name val="Calibri"/>
      <family val="2"/>
    </font>
    <font>
      <b/>
      <i/>
      <sz val="10"/>
      <color theme="0"/>
      <name val="Calibri"/>
      <family val="2"/>
      <scheme val="minor"/>
    </font>
    <font>
      <sz val="10"/>
      <color rgb="FF993300"/>
      <name val="Calibri"/>
      <family val="2"/>
    </font>
    <font>
      <sz val="10"/>
      <color rgb="FF0070C0"/>
      <name val="Calibri"/>
      <family val="2"/>
    </font>
    <font>
      <b/>
      <sz val="10"/>
      <color rgb="FF0070C0"/>
      <name val="Calibri"/>
      <family val="2"/>
    </font>
    <font>
      <b/>
      <sz val="12"/>
      <color rgb="FFC00000"/>
      <name val="Calibri"/>
      <family val="2"/>
    </font>
    <font>
      <u/>
      <sz val="10"/>
      <name val="Calibri"/>
      <family val="2"/>
    </font>
    <font>
      <i/>
      <sz val="10"/>
      <color theme="0"/>
      <name val="Calibri"/>
      <family val="2"/>
    </font>
    <font>
      <b/>
      <sz val="10"/>
      <color rgb="FF993300"/>
      <name val="Calibri"/>
      <family val="2"/>
    </font>
    <font>
      <b/>
      <u/>
      <sz val="9"/>
      <color indexed="81"/>
      <name val="Tahoma"/>
      <family val="2"/>
    </font>
    <font>
      <b/>
      <sz val="10"/>
      <color rgb="FF0066CC"/>
      <name val="Calibri"/>
      <family val="2"/>
    </font>
    <font>
      <sz val="10"/>
      <color indexed="10"/>
      <name val="Calibri"/>
      <family val="2"/>
      <scheme val="minor"/>
    </font>
    <font>
      <b/>
      <sz val="10"/>
      <color rgb="FFA40000"/>
      <name val="Calibri"/>
      <family val="2"/>
      <scheme val="minor"/>
    </font>
    <font>
      <sz val="10"/>
      <color rgb="FFA40000"/>
      <name val="Calibri"/>
      <family val="2"/>
      <scheme val="minor"/>
    </font>
    <font>
      <i/>
      <sz val="10"/>
      <color rgb="FF993300"/>
      <name val="Calibri"/>
      <family val="2"/>
      <scheme val="minor"/>
    </font>
    <font>
      <i/>
      <sz val="10"/>
      <color rgb="FFA40000"/>
      <name val="Calibri"/>
      <family val="2"/>
      <scheme val="minor"/>
    </font>
    <font>
      <i/>
      <sz val="10"/>
      <name val="Calibri"/>
      <family val="2"/>
      <scheme val="minor"/>
    </font>
    <font>
      <sz val="10"/>
      <color theme="0"/>
      <name val="Calibri"/>
      <family val="2"/>
      <scheme val="minor"/>
    </font>
    <font>
      <sz val="10"/>
      <color theme="0" tint="-0.249977111117893"/>
      <name val="Calibri"/>
      <family val="2"/>
      <scheme val="minor"/>
    </font>
    <font>
      <i/>
      <sz val="10"/>
      <color rgb="FFFF0000"/>
      <name val="Calibri"/>
      <family val="2"/>
      <scheme val="minor"/>
    </font>
    <font>
      <b/>
      <sz val="10"/>
      <color theme="0" tint="-0.14999847407452621"/>
      <name val="Calibri"/>
      <family val="2"/>
      <scheme val="minor"/>
    </font>
    <font>
      <b/>
      <sz val="10"/>
      <color indexed="10"/>
      <name val="Calibri"/>
      <family val="2"/>
      <scheme val="minor"/>
    </font>
    <font>
      <sz val="10"/>
      <color rgb="FFA40000"/>
      <name val="Calibri"/>
      <family val="2"/>
    </font>
    <font>
      <b/>
      <i/>
      <sz val="12"/>
      <color rgb="FF0066CC"/>
      <name val="Calibri"/>
      <family val="2"/>
    </font>
    <font>
      <b/>
      <i/>
      <sz val="10"/>
      <color rgb="FF0066CC"/>
      <name val="Calibri"/>
      <family val="2"/>
      <scheme val="minor"/>
    </font>
    <font>
      <i/>
      <sz val="10"/>
      <color rgb="FF0066CC"/>
      <name val="Calibri"/>
      <family val="2"/>
    </font>
    <font>
      <b/>
      <i/>
      <sz val="12"/>
      <color rgb="FFA40000"/>
      <name val="Calibri"/>
      <family val="2"/>
    </font>
    <font>
      <b/>
      <i/>
      <sz val="11"/>
      <name val="Calibri"/>
      <family val="2"/>
    </font>
    <font>
      <sz val="10"/>
      <color theme="0" tint="-0.499984740745262"/>
      <name val="Calibri"/>
      <family val="2"/>
    </font>
    <font>
      <sz val="10"/>
      <color theme="0" tint="-0.14999847407452621"/>
      <name val="Calibri"/>
      <family val="2"/>
      <scheme val="minor"/>
    </font>
    <font>
      <i/>
      <sz val="12"/>
      <color indexed="60"/>
      <name val="Calibri"/>
      <family val="2"/>
    </font>
    <font>
      <b/>
      <sz val="12"/>
      <name val="Arial"/>
      <family val="2"/>
    </font>
    <font>
      <b/>
      <sz val="8"/>
      <name val="Arial"/>
      <family val="2"/>
    </font>
    <font>
      <b/>
      <sz val="8"/>
      <color indexed="10"/>
      <name val="Arial"/>
      <family val="2"/>
    </font>
    <font>
      <i/>
      <sz val="10"/>
      <color theme="0" tint="-0.249977111117893"/>
      <name val="Calibri"/>
      <family val="2"/>
      <scheme val="minor"/>
    </font>
    <font>
      <i/>
      <sz val="8"/>
      <name val="Arial"/>
      <family val="2"/>
    </font>
    <font>
      <b/>
      <sz val="10"/>
      <color rgb="FFFF0000"/>
      <name val="Calibri"/>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0"/>
        <bgColor indexed="64"/>
      </patternFill>
    </fill>
    <fill>
      <patternFill patternType="solid">
        <fgColor indexed="13"/>
        <bgColor indexed="64"/>
      </patternFill>
    </fill>
    <fill>
      <patternFill patternType="solid">
        <fgColor rgb="FF0070C0"/>
        <bgColor indexed="64"/>
      </patternFill>
    </fill>
    <fill>
      <patternFill patternType="solid">
        <fgColor rgb="FFFFFF00"/>
        <bgColor indexed="64"/>
      </patternFill>
    </fill>
    <fill>
      <patternFill patternType="solid">
        <fgColor rgb="FFC0C0C0"/>
        <bgColor indexed="64"/>
      </patternFill>
    </fill>
    <fill>
      <patternFill patternType="solid">
        <fgColor theme="0" tint="-0.249977111117893"/>
        <bgColor indexed="64"/>
      </patternFill>
    </fill>
    <fill>
      <patternFill patternType="solid">
        <fgColor rgb="FF0066CC"/>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06EC0"/>
        <bgColor indexed="64"/>
      </patternFill>
    </fill>
    <fill>
      <patternFill patternType="solid">
        <fgColor rgb="FFFFFF99"/>
        <bgColor indexed="64"/>
      </patternFill>
    </fill>
    <fill>
      <patternFill patternType="solid">
        <fgColor indexed="43"/>
        <bgColor indexed="64"/>
      </patternFill>
    </fill>
    <fill>
      <patternFill patternType="solid">
        <fgColor theme="9" tint="0.39997558519241921"/>
        <bgColor indexed="64"/>
      </patternFill>
    </fill>
    <fill>
      <patternFill patternType="solid">
        <fgColor theme="0" tint="-0.14999847407452621"/>
        <bgColor indexed="64"/>
      </patternFill>
    </fill>
  </fills>
  <borders count="112">
    <border>
      <left/>
      <right/>
      <top/>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indexed="9"/>
      </bottom>
      <diagonal/>
    </border>
    <border>
      <left/>
      <right/>
      <top/>
      <bottom style="thin">
        <color indexed="22"/>
      </bottom>
      <diagonal/>
    </border>
    <border>
      <left style="thin">
        <color indexed="22"/>
      </left>
      <right style="thin">
        <color indexed="22"/>
      </right>
      <top/>
      <bottom/>
      <diagonal/>
    </border>
    <border>
      <left style="thin">
        <color rgb="FFC0C0C0"/>
      </left>
      <right style="thin">
        <color rgb="FFC0C0C0"/>
      </right>
      <top style="thin">
        <color rgb="FFC0C0C0"/>
      </top>
      <bottom style="thin">
        <color rgb="FFC0C0C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22"/>
      </top>
      <bottom style="thin">
        <color indexed="22"/>
      </bottom>
      <diagonal/>
    </border>
    <border>
      <left/>
      <right style="thin">
        <color indexed="22"/>
      </right>
      <top/>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thin">
        <color auto="1"/>
      </right>
      <top/>
      <bottom/>
      <diagonal/>
    </border>
    <border>
      <left style="thin">
        <color theme="0"/>
      </left>
      <right style="thin">
        <color theme="0"/>
      </right>
      <top style="thin">
        <color rgb="FFC0C0C0"/>
      </top>
      <bottom style="thin">
        <color rgb="FFC0C0C0"/>
      </bottom>
      <diagonal/>
    </border>
    <border>
      <left style="thin">
        <color indexed="22"/>
      </left>
      <right/>
      <top/>
      <bottom/>
      <diagonal/>
    </border>
    <border>
      <left style="thin">
        <color theme="0" tint="-0.24994659260841701"/>
      </left>
      <right/>
      <top style="thin">
        <color theme="0" tint="-0.24994659260841701"/>
      </top>
      <bottom style="thin">
        <color theme="0" tint="-0.24994659260841701"/>
      </bottom>
      <diagonal/>
    </border>
    <border>
      <left style="thin">
        <color auto="1"/>
      </left>
      <right/>
      <top/>
      <bottom/>
      <diagonal/>
    </border>
    <border>
      <left/>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22"/>
      </top>
      <bottom style="thin">
        <color indexed="22"/>
      </bottom>
      <diagonal/>
    </border>
    <border>
      <left style="thin">
        <color indexed="9"/>
      </left>
      <right style="thin">
        <color indexed="22"/>
      </right>
      <top style="thin">
        <color indexed="22"/>
      </top>
      <bottom style="thin">
        <color indexed="22"/>
      </bottom>
      <diagonal/>
    </border>
    <border>
      <left style="thin">
        <color theme="0" tint="-0.24994659260841701"/>
      </left>
      <right style="thin">
        <color theme="0" tint="-0.24994659260841701"/>
      </right>
      <top/>
      <bottom/>
      <diagonal/>
    </border>
    <border>
      <left/>
      <right/>
      <top/>
      <bottom style="thin">
        <color theme="0"/>
      </bottom>
      <diagonal/>
    </border>
    <border>
      <left/>
      <right/>
      <top style="thin">
        <color theme="0"/>
      </top>
      <bottom/>
      <diagonal/>
    </border>
    <border>
      <left style="thin">
        <color theme="0" tint="-0.24994659260841701"/>
      </left>
      <right style="thin">
        <color theme="0" tint="-0.24994659260841701"/>
      </right>
      <top style="thin">
        <color theme="0"/>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rgb="FFC0C0C0"/>
      </left>
      <right/>
      <top style="thin">
        <color rgb="FFC0C0C0"/>
      </top>
      <bottom style="thin">
        <color rgb="FFC0C0C0"/>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rgb="FFC0C0C0"/>
      </top>
      <bottom style="thin">
        <color rgb="FFC0C0C0"/>
      </bottom>
      <diagonal/>
    </border>
    <border>
      <left style="thin">
        <color theme="0"/>
      </left>
      <right/>
      <top style="thin">
        <color theme="0"/>
      </top>
      <bottom style="thin">
        <color theme="0"/>
      </bottom>
      <diagonal/>
    </border>
    <border>
      <left style="double">
        <color rgb="FFA40000"/>
      </left>
      <right/>
      <top style="double">
        <color rgb="FFA40000"/>
      </top>
      <bottom/>
      <diagonal/>
    </border>
    <border>
      <left/>
      <right/>
      <top style="double">
        <color rgb="FFA40000"/>
      </top>
      <bottom/>
      <diagonal/>
    </border>
    <border>
      <left/>
      <right style="double">
        <color rgb="FFA40000"/>
      </right>
      <top style="double">
        <color rgb="FFA40000"/>
      </top>
      <bottom/>
      <diagonal/>
    </border>
    <border>
      <left style="double">
        <color rgb="FFA40000"/>
      </left>
      <right/>
      <top/>
      <bottom/>
      <diagonal/>
    </border>
    <border>
      <left/>
      <right style="double">
        <color rgb="FFA40000"/>
      </right>
      <top/>
      <bottom/>
      <diagonal/>
    </border>
    <border>
      <left style="double">
        <color rgb="FFA40000"/>
      </left>
      <right/>
      <top/>
      <bottom style="double">
        <color rgb="FFA40000"/>
      </bottom>
      <diagonal/>
    </border>
    <border>
      <left/>
      <right/>
      <top/>
      <bottom style="double">
        <color rgb="FFA40000"/>
      </bottom>
      <diagonal/>
    </border>
    <border>
      <left/>
      <right style="double">
        <color rgb="FFA40000"/>
      </right>
      <top/>
      <bottom style="double">
        <color rgb="FFA40000"/>
      </bottom>
      <diagonal/>
    </border>
    <border>
      <left style="thin">
        <color indexed="22"/>
      </left>
      <right style="thin">
        <color theme="0"/>
      </right>
      <top style="thin">
        <color indexed="22"/>
      </top>
      <bottom style="thin">
        <color indexed="22"/>
      </bottom>
      <diagonal/>
    </border>
    <border>
      <left style="thin">
        <color theme="0"/>
      </left>
      <right style="thin">
        <color indexed="22"/>
      </right>
      <top style="thin">
        <color indexed="22"/>
      </top>
      <bottom style="thin">
        <color indexed="22"/>
      </bottom>
      <diagonal/>
    </border>
    <border>
      <left/>
      <right style="thin">
        <color indexed="22"/>
      </right>
      <top/>
      <bottom style="thin">
        <color indexed="22"/>
      </bottom>
      <diagonal/>
    </border>
    <border>
      <left style="thin">
        <color indexed="22"/>
      </left>
      <right style="thin">
        <color auto="1"/>
      </right>
      <top/>
      <bottom/>
      <diagonal/>
    </border>
    <border>
      <left/>
      <right/>
      <top/>
      <bottom style="thin">
        <color indexed="64"/>
      </bottom>
      <diagonal/>
    </border>
    <border>
      <left style="thin">
        <color indexed="22"/>
      </left>
      <right style="thin">
        <color indexed="64"/>
      </right>
      <top style="thin">
        <color indexed="22"/>
      </top>
      <bottom style="thin">
        <color indexed="22"/>
      </bottom>
      <diagonal/>
    </border>
    <border>
      <left/>
      <right style="thin">
        <color indexed="64"/>
      </right>
      <top/>
      <bottom style="thin">
        <color indexed="64"/>
      </bottom>
      <diagonal/>
    </border>
    <border>
      <left style="thin">
        <color indexed="64"/>
      </left>
      <right/>
      <top/>
      <bottom style="thin">
        <color indexed="64"/>
      </bottom>
      <diagonal/>
    </border>
    <border>
      <left style="thin">
        <color indexed="22"/>
      </left>
      <right style="thin">
        <color indexed="22"/>
      </right>
      <top style="thin">
        <color indexed="22"/>
      </top>
      <bottom style="thin">
        <color theme="0"/>
      </bottom>
      <diagonal/>
    </border>
    <border>
      <left style="thin">
        <color indexed="22"/>
      </left>
      <right style="thin">
        <color indexed="22"/>
      </right>
      <top style="thin">
        <color theme="0"/>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rgb="FFC0C0C0"/>
      </left>
      <right/>
      <top/>
      <bottom style="thin">
        <color rgb="FFC0C0C0"/>
      </bottom>
      <diagonal/>
    </border>
    <border>
      <left/>
      <right style="thin">
        <color rgb="FFC0C0C0"/>
      </right>
      <top/>
      <bottom style="thin">
        <color rgb="FFC0C0C0"/>
      </bottom>
      <diagonal/>
    </border>
    <border>
      <left/>
      <right style="thin">
        <color rgb="FFC0C0C0"/>
      </right>
      <top style="thin">
        <color rgb="FFC0C0C0"/>
      </top>
      <bottom style="thin">
        <color rgb="FFC0C0C0"/>
      </bottom>
      <diagonal/>
    </border>
    <border>
      <left style="thin">
        <color indexed="64"/>
      </left>
      <right/>
      <top/>
      <bottom style="thin">
        <color auto="1"/>
      </bottom>
      <diagonal/>
    </border>
    <border>
      <left style="thin">
        <color indexed="22"/>
      </left>
      <right/>
      <top style="thin">
        <color theme="0"/>
      </top>
      <bottom style="thin">
        <color indexed="22"/>
      </bottom>
      <diagonal/>
    </border>
    <border>
      <left style="thin">
        <color theme="0"/>
      </left>
      <right style="thin">
        <color theme="0"/>
      </right>
      <top style="thin">
        <color theme="0" tint="-0.24994659260841701"/>
      </top>
      <bottom style="thin">
        <color theme="0" tint="-0.24994659260841701"/>
      </bottom>
      <diagonal/>
    </border>
    <border>
      <left/>
      <right style="thin">
        <color theme="0"/>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right style="thin">
        <color theme="0"/>
      </right>
      <top style="thin">
        <color theme="0" tint="-0.24994659260841701"/>
      </top>
      <bottom/>
      <diagonal/>
    </border>
    <border>
      <left style="thin">
        <color theme="0"/>
      </left>
      <right style="thin">
        <color theme="0"/>
      </right>
      <top style="thin">
        <color theme="0" tint="-0.24994659260841701"/>
      </top>
      <bottom/>
      <diagonal/>
    </border>
    <border>
      <left style="thin">
        <color theme="0"/>
      </left>
      <right/>
      <top style="thin">
        <color theme="0" tint="-0.24994659260841701"/>
      </top>
      <bottom/>
      <diagonal/>
    </border>
    <border>
      <left style="thin">
        <color indexed="64"/>
      </left>
      <right style="thin">
        <color indexed="22"/>
      </right>
      <top/>
      <bottom/>
      <diagonal/>
    </border>
    <border>
      <left style="thin">
        <color indexed="22"/>
      </left>
      <right/>
      <top/>
      <bottom style="thin">
        <color indexed="22"/>
      </bottom>
      <diagonal/>
    </border>
    <border>
      <left/>
      <right/>
      <top/>
      <bottom style="thin">
        <color indexed="64"/>
      </bottom>
      <diagonal/>
    </border>
    <border>
      <left style="thin">
        <color indexed="22"/>
      </left>
      <right style="thin">
        <color indexed="22"/>
      </right>
      <top/>
      <bottom style="thin">
        <color indexed="22"/>
      </bottom>
      <diagonal/>
    </border>
    <border>
      <left/>
      <right/>
      <top/>
      <bottom style="thin">
        <color indexed="22"/>
      </bottom>
      <diagonal/>
    </border>
    <border>
      <left/>
      <right/>
      <top style="double">
        <color rgb="FF0070C0"/>
      </top>
      <bottom/>
      <diagonal/>
    </border>
    <border>
      <left style="double">
        <color auto="1"/>
      </left>
      <right/>
      <top style="double">
        <color rgb="FF0070C0"/>
      </top>
      <bottom/>
      <diagonal/>
    </border>
    <border>
      <left/>
      <right style="double">
        <color auto="1"/>
      </right>
      <top style="double">
        <color rgb="FF0070C0"/>
      </top>
      <bottom/>
      <diagonal/>
    </border>
    <border>
      <left style="thin">
        <color theme="0"/>
      </left>
      <right style="thin">
        <color theme="0"/>
      </right>
      <top/>
      <bottom/>
      <diagonal/>
    </border>
    <border>
      <left style="thin">
        <color theme="0"/>
      </left>
      <right/>
      <top/>
      <bottom/>
      <diagonal/>
    </border>
    <border>
      <left style="thin">
        <color theme="0" tint="-0.24994659260841701"/>
      </left>
      <right style="thin">
        <color indexed="9"/>
      </right>
      <top style="thin">
        <color indexed="22"/>
      </top>
      <bottom style="thin">
        <color indexed="22"/>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168" fontId="1" fillId="0" borderId="0" applyFont="0" applyFill="0" applyBorder="0" applyAlignment="0" applyProtection="0"/>
  </cellStyleXfs>
  <cellXfs count="1645">
    <xf numFmtId="0" fontId="0" fillId="0" borderId="0" xfId="0"/>
    <xf numFmtId="0" fontId="10" fillId="0" borderId="0" xfId="0" applyFont="1"/>
    <xf numFmtId="0" fontId="7" fillId="0" borderId="0" xfId="0" applyFont="1"/>
    <xf numFmtId="0" fontId="35" fillId="2" borderId="0" xfId="0" applyFont="1" applyFill="1"/>
    <xf numFmtId="0" fontId="4" fillId="0" borderId="0" xfId="1" applyAlignment="1" applyProtection="1"/>
    <xf numFmtId="0" fontId="6" fillId="2" borderId="0" xfId="0" applyFont="1" applyFill="1"/>
    <xf numFmtId="0" fontId="11" fillId="3" borderId="0" xfId="0" applyFont="1" applyFill="1" applyBorder="1" applyProtection="1"/>
    <xf numFmtId="0" fontId="12" fillId="3" borderId="0" xfId="0" applyFont="1" applyFill="1" applyBorder="1" applyProtection="1"/>
    <xf numFmtId="0" fontId="16" fillId="3" borderId="0" xfId="0" applyFont="1" applyFill="1" applyBorder="1" applyProtection="1"/>
    <xf numFmtId="0" fontId="11" fillId="3" borderId="0" xfId="0" applyFont="1" applyFill="1" applyBorder="1" applyAlignment="1" applyProtection="1">
      <alignment horizontal="left"/>
    </xf>
    <xf numFmtId="0" fontId="14" fillId="3" borderId="0" xfId="0" applyFont="1" applyFill="1" applyBorder="1" applyProtection="1"/>
    <xf numFmtId="0" fontId="15" fillId="3" borderId="0" xfId="0" applyFont="1" applyFill="1" applyBorder="1" applyProtection="1"/>
    <xf numFmtId="0" fontId="13" fillId="3" borderId="0" xfId="0" applyFont="1" applyFill="1" applyBorder="1" applyAlignment="1" applyProtection="1">
      <alignment horizontal="center"/>
    </xf>
    <xf numFmtId="0" fontId="26" fillId="3" borderId="0" xfId="0" applyFont="1" applyFill="1" applyBorder="1" applyProtection="1"/>
    <xf numFmtId="1" fontId="11" fillId="3" borderId="0" xfId="0" applyNumberFormat="1" applyFont="1" applyFill="1" applyBorder="1" applyProtection="1"/>
    <xf numFmtId="49" fontId="29" fillId="3" borderId="0" xfId="0" applyNumberFormat="1" applyFont="1" applyFill="1" applyBorder="1" applyAlignment="1" applyProtection="1">
      <alignment horizontal="right"/>
    </xf>
    <xf numFmtId="0" fontId="29" fillId="3" borderId="0" xfId="0" applyFont="1" applyFill="1" applyBorder="1" applyAlignment="1" applyProtection="1">
      <alignment horizontal="right"/>
    </xf>
    <xf numFmtId="0" fontId="11" fillId="3" borderId="0" xfId="0" applyFont="1" applyFill="1" applyAlignment="1" applyProtection="1">
      <alignment horizontal="left"/>
    </xf>
    <xf numFmtId="0" fontId="11" fillId="2" borderId="2" xfId="0" applyFont="1" applyFill="1" applyBorder="1" applyProtection="1"/>
    <xf numFmtId="0" fontId="11" fillId="2" borderId="3" xfId="0" applyFont="1" applyFill="1" applyBorder="1" applyProtection="1"/>
    <xf numFmtId="0" fontId="11" fillId="2" borderId="4" xfId="0" applyFont="1" applyFill="1" applyBorder="1" applyProtection="1"/>
    <xf numFmtId="0" fontId="11" fillId="2" borderId="5" xfId="0" applyFont="1" applyFill="1" applyBorder="1" applyProtection="1"/>
    <xf numFmtId="0" fontId="11" fillId="2" borderId="0" xfId="0" applyFont="1" applyFill="1" applyBorder="1" applyProtection="1"/>
    <xf numFmtId="0" fontId="12" fillId="2" borderId="0" xfId="0" applyFont="1" applyFill="1" applyBorder="1" applyProtection="1"/>
    <xf numFmtId="0" fontId="11" fillId="2" borderId="0" xfId="0" applyFont="1" applyFill="1" applyBorder="1" applyAlignment="1" applyProtection="1">
      <alignment horizontal="center"/>
    </xf>
    <xf numFmtId="0" fontId="11" fillId="2" borderId="6" xfId="0" applyFont="1" applyFill="1" applyBorder="1" applyProtection="1"/>
    <xf numFmtId="0" fontId="16" fillId="2" borderId="5" xfId="0" applyFont="1" applyFill="1" applyBorder="1" applyProtection="1"/>
    <xf numFmtId="0" fontId="16" fillId="2" borderId="0" xfId="0" applyFont="1" applyFill="1" applyBorder="1" applyProtection="1"/>
    <xf numFmtId="0" fontId="16" fillId="2" borderId="6" xfId="0" applyFont="1" applyFill="1" applyBorder="1" applyProtection="1"/>
    <xf numFmtId="0" fontId="13" fillId="2" borderId="5" xfId="0" applyFont="1" applyFill="1" applyBorder="1" applyProtection="1"/>
    <xf numFmtId="0" fontId="13" fillId="2" borderId="6" xfId="0" applyFont="1" applyFill="1" applyBorder="1" applyProtection="1"/>
    <xf numFmtId="0" fontId="11" fillId="3" borderId="8" xfId="0" applyFont="1" applyFill="1" applyBorder="1" applyProtection="1"/>
    <xf numFmtId="0" fontId="11" fillId="3" borderId="9" xfId="0" applyFont="1" applyFill="1" applyBorder="1" applyProtection="1"/>
    <xf numFmtId="0" fontId="11" fillId="3" borderId="11" xfId="0" applyFont="1" applyFill="1" applyBorder="1" applyProtection="1"/>
    <xf numFmtId="0" fontId="11" fillId="3" borderId="1" xfId="0" applyFont="1" applyFill="1" applyBorder="1" applyProtection="1"/>
    <xf numFmtId="0" fontId="11" fillId="3" borderId="12" xfId="0" applyFont="1" applyFill="1" applyBorder="1" applyProtection="1"/>
    <xf numFmtId="0" fontId="12" fillId="3" borderId="1" xfId="0" applyFont="1" applyFill="1" applyBorder="1" applyProtection="1"/>
    <xf numFmtId="0" fontId="15" fillId="3" borderId="1" xfId="0" applyFont="1" applyFill="1" applyBorder="1" applyProtection="1"/>
    <xf numFmtId="0" fontId="11" fillId="3" borderId="13" xfId="0" applyFont="1" applyFill="1" applyBorder="1" applyProtection="1"/>
    <xf numFmtId="0" fontId="11" fillId="3" borderId="14" xfId="0" applyFont="1" applyFill="1" applyBorder="1" applyProtection="1"/>
    <xf numFmtId="0" fontId="11" fillId="3" borderId="14" xfId="0" applyFont="1" applyFill="1" applyBorder="1" applyAlignment="1" applyProtection="1">
      <alignment horizontal="center"/>
    </xf>
    <xf numFmtId="0" fontId="12" fillId="3" borderId="9" xfId="0" applyFont="1" applyFill="1" applyBorder="1" applyProtection="1"/>
    <xf numFmtId="0" fontId="11" fillId="2" borderId="1" xfId="0" applyFont="1" applyFill="1" applyBorder="1" applyAlignment="1" applyProtection="1">
      <alignment horizontal="center"/>
      <protection locked="0"/>
    </xf>
    <xf numFmtId="0" fontId="38" fillId="2" borderId="0" xfId="0" applyFont="1" applyFill="1" applyBorder="1" applyProtection="1"/>
    <xf numFmtId="49" fontId="39" fillId="2" borderId="0" xfId="0" applyNumberFormat="1" applyFont="1" applyFill="1" applyBorder="1" applyAlignment="1" applyProtection="1">
      <alignment horizontal="center"/>
    </xf>
    <xf numFmtId="0" fontId="41" fillId="4" borderId="1" xfId="0" applyFont="1" applyFill="1" applyBorder="1" applyAlignment="1" applyProtection="1">
      <alignment horizontal="center"/>
    </xf>
    <xf numFmtId="0" fontId="26" fillId="2" borderId="5" xfId="0" applyFont="1" applyFill="1" applyBorder="1" applyProtection="1"/>
    <xf numFmtId="0" fontId="26" fillId="2" borderId="0" xfId="0" applyFont="1" applyFill="1" applyBorder="1" applyProtection="1"/>
    <xf numFmtId="0" fontId="26" fillId="2" borderId="6" xfId="0" applyFont="1" applyFill="1" applyBorder="1" applyProtection="1"/>
    <xf numFmtId="0" fontId="6" fillId="3" borderId="1" xfId="0" applyFont="1" applyFill="1" applyBorder="1" applyAlignment="1" applyProtection="1">
      <alignment horizontal="left"/>
    </xf>
    <xf numFmtId="0" fontId="12" fillId="3" borderId="14" xfId="0" applyFont="1" applyFill="1" applyBorder="1" applyProtection="1"/>
    <xf numFmtId="0" fontId="38" fillId="2" borderId="0" xfId="0" applyFont="1" applyFill="1" applyBorder="1" applyAlignment="1" applyProtection="1">
      <alignment horizontal="center"/>
    </xf>
    <xf numFmtId="0" fontId="13" fillId="2" borderId="0" xfId="0" applyFont="1" applyFill="1" applyBorder="1" applyAlignment="1" applyProtection="1">
      <alignment horizontal="left"/>
    </xf>
    <xf numFmtId="0" fontId="13" fillId="2" borderId="0" xfId="0" applyFont="1" applyFill="1" applyBorder="1" applyAlignment="1" applyProtection="1">
      <alignment horizontal="center"/>
    </xf>
    <xf numFmtId="0" fontId="36" fillId="2" borderId="0" xfId="0" applyFont="1" applyFill="1" applyBorder="1" applyAlignment="1" applyProtection="1">
      <alignment horizontal="left"/>
    </xf>
    <xf numFmtId="0" fontId="15" fillId="2" borderId="0" xfId="0" applyFont="1" applyFill="1" applyBorder="1" applyProtection="1"/>
    <xf numFmtId="0" fontId="7" fillId="2" borderId="0" xfId="0" applyFont="1" applyFill="1" applyBorder="1" applyProtection="1"/>
    <xf numFmtId="0" fontId="14" fillId="2" borderId="0" xfId="0" applyFont="1" applyFill="1" applyBorder="1" applyProtection="1"/>
    <xf numFmtId="0" fontId="40" fillId="2" borderId="0" xfId="0" applyFont="1" applyFill="1" applyBorder="1" applyProtection="1"/>
    <xf numFmtId="0" fontId="38" fillId="2" borderId="0" xfId="0" applyFont="1" applyFill="1" applyBorder="1" applyAlignment="1" applyProtection="1"/>
    <xf numFmtId="0" fontId="39" fillId="2" borderId="0" xfId="0" applyFont="1" applyFill="1" applyBorder="1" applyAlignment="1" applyProtection="1">
      <alignment horizontal="center"/>
    </xf>
    <xf numFmtId="0" fontId="15" fillId="2" borderId="5" xfId="0" applyFont="1" applyFill="1" applyBorder="1" applyProtection="1"/>
    <xf numFmtId="0" fontId="15" fillId="2" borderId="6" xfId="0" applyFont="1" applyFill="1" applyBorder="1" applyProtection="1"/>
    <xf numFmtId="0" fontId="15" fillId="2" borderId="0" xfId="0" applyFont="1" applyFill="1" applyBorder="1" applyAlignment="1" applyProtection="1">
      <alignment horizontal="left"/>
    </xf>
    <xf numFmtId="0" fontId="12" fillId="3" borderId="8" xfId="0" applyFont="1" applyFill="1" applyBorder="1" applyProtection="1"/>
    <xf numFmtId="0" fontId="13" fillId="3" borderId="1" xfId="0" applyFont="1" applyFill="1" applyBorder="1" applyAlignment="1" applyProtection="1">
      <alignment horizontal="center"/>
    </xf>
    <xf numFmtId="164" fontId="6" fillId="2" borderId="1" xfId="0" applyNumberFormat="1" applyFont="1" applyFill="1" applyBorder="1" applyAlignment="1" applyProtection="1">
      <alignment horizontal="center"/>
      <protection locked="0"/>
    </xf>
    <xf numFmtId="164" fontId="6" fillId="5" borderId="1" xfId="0" applyNumberFormat="1" applyFont="1" applyFill="1" applyBorder="1" applyAlignment="1" applyProtection="1">
      <alignment horizontal="center"/>
    </xf>
    <xf numFmtId="0" fontId="6" fillId="3" borderId="14" xfId="0" applyFont="1" applyFill="1" applyBorder="1" applyAlignment="1" applyProtection="1">
      <alignment horizontal="center"/>
    </xf>
    <xf numFmtId="0" fontId="6" fillId="2" borderId="0" xfId="0" applyFont="1" applyFill="1" applyBorder="1" applyAlignment="1" applyProtection="1">
      <alignment horizontal="center"/>
    </xf>
    <xf numFmtId="0" fontId="6" fillId="3" borderId="1" xfId="0" applyFont="1" applyFill="1" applyBorder="1" applyAlignment="1" applyProtection="1">
      <alignment horizontal="center"/>
    </xf>
    <xf numFmtId="0" fontId="6" fillId="2" borderId="2" xfId="0" applyFont="1" applyFill="1" applyBorder="1" applyProtection="1"/>
    <xf numFmtId="0" fontId="6" fillId="2" borderId="3" xfId="0" applyFont="1" applyFill="1" applyBorder="1" applyProtection="1"/>
    <xf numFmtId="0" fontId="6" fillId="2" borderId="3" xfId="0" applyFont="1" applyFill="1" applyBorder="1" applyAlignment="1" applyProtection="1">
      <alignment horizontal="center"/>
    </xf>
    <xf numFmtId="0" fontId="6" fillId="2" borderId="4" xfId="0" applyFont="1" applyFill="1" applyBorder="1" applyProtection="1"/>
    <xf numFmtId="0" fontId="6" fillId="2" borderId="5" xfId="0" applyFont="1" applyFill="1" applyBorder="1" applyProtection="1"/>
    <xf numFmtId="0" fontId="6" fillId="2" borderId="0" xfId="0" applyFont="1" applyFill="1" applyBorder="1" applyProtection="1"/>
    <xf numFmtId="0" fontId="6" fillId="2" borderId="6" xfId="0" applyFont="1" applyFill="1" applyBorder="1" applyProtection="1"/>
    <xf numFmtId="0" fontId="6" fillId="3" borderId="9" xfId="0" applyFont="1" applyFill="1" applyBorder="1" applyAlignment="1" applyProtection="1">
      <alignment horizontal="center"/>
    </xf>
    <xf numFmtId="0" fontId="7" fillId="2" borderId="5" xfId="0" applyFont="1" applyFill="1" applyBorder="1" applyProtection="1"/>
    <xf numFmtId="0" fontId="6" fillId="3" borderId="13" xfId="0" applyFont="1" applyFill="1" applyBorder="1" applyProtection="1"/>
    <xf numFmtId="0" fontId="6" fillId="3" borderId="14" xfId="0" applyFont="1" applyFill="1" applyBorder="1" applyProtection="1"/>
    <xf numFmtId="0" fontId="6" fillId="2" borderId="7" xfId="0" applyFont="1" applyFill="1" applyBorder="1" applyProtection="1"/>
    <xf numFmtId="0" fontId="6" fillId="2" borderId="7" xfId="0" applyFont="1" applyFill="1" applyBorder="1" applyAlignment="1" applyProtection="1">
      <alignment horizontal="center"/>
    </xf>
    <xf numFmtId="0" fontId="6" fillId="2" borderId="16" xfId="0" applyFont="1" applyFill="1" applyBorder="1" applyProtection="1"/>
    <xf numFmtId="0" fontId="6" fillId="2" borderId="17" xfId="0" applyFont="1" applyFill="1" applyBorder="1" applyProtection="1"/>
    <xf numFmtId="0" fontId="14" fillId="2" borderId="0" xfId="0" applyFont="1" applyFill="1" applyBorder="1" applyAlignment="1" applyProtection="1">
      <alignment horizontal="center"/>
    </xf>
    <xf numFmtId="0" fontId="14" fillId="2" borderId="0" xfId="0" applyFont="1" applyFill="1" applyBorder="1" applyAlignment="1" applyProtection="1">
      <alignment horizontal="left"/>
    </xf>
    <xf numFmtId="0" fontId="14" fillId="2" borderId="6" xfId="0" applyFont="1" applyFill="1" applyBorder="1" applyProtection="1"/>
    <xf numFmtId="0" fontId="6" fillId="3" borderId="10" xfId="0" applyFont="1" applyFill="1" applyBorder="1" applyAlignment="1" applyProtection="1">
      <alignment horizontal="center"/>
    </xf>
    <xf numFmtId="0" fontId="7" fillId="2" borderId="6" xfId="0" applyFont="1" applyFill="1" applyBorder="1" applyProtection="1"/>
    <xf numFmtId="0" fontId="6" fillId="3" borderId="12" xfId="0" applyFont="1" applyFill="1" applyBorder="1" applyAlignment="1" applyProtection="1">
      <alignment horizontal="center"/>
    </xf>
    <xf numFmtId="0" fontId="13" fillId="3" borderId="1" xfId="0" applyFont="1" applyFill="1" applyBorder="1" applyAlignment="1" applyProtection="1">
      <alignment horizontal="left"/>
    </xf>
    <xf numFmtId="0" fontId="37" fillId="2" borderId="0" xfId="0" applyFont="1" applyFill="1" applyBorder="1" applyAlignment="1" applyProtection="1">
      <alignment horizontal="center"/>
    </xf>
    <xf numFmtId="0" fontId="37" fillId="2" borderId="0" xfId="0" applyFont="1" applyFill="1" applyBorder="1" applyAlignment="1" applyProtection="1">
      <alignment horizontal="left"/>
    </xf>
    <xf numFmtId="0" fontId="11" fillId="2" borderId="1" xfId="0" applyFont="1" applyFill="1" applyBorder="1" applyAlignment="1" applyProtection="1">
      <alignment horizontal="left"/>
      <protection locked="0"/>
    </xf>
    <xf numFmtId="0" fontId="6" fillId="0" borderId="0" xfId="0" applyFont="1"/>
    <xf numFmtId="0" fontId="6" fillId="2" borderId="0" xfId="0" applyFont="1" applyFill="1" applyAlignment="1"/>
    <xf numFmtId="0" fontId="13" fillId="0" borderId="0" xfId="0" applyFont="1"/>
    <xf numFmtId="0" fontId="10" fillId="2" borderId="0" xfId="0" applyFont="1" applyFill="1" applyBorder="1" applyProtection="1"/>
    <xf numFmtId="0" fontId="49" fillId="3" borderId="1" xfId="0" applyFont="1" applyFill="1" applyBorder="1" applyProtection="1"/>
    <xf numFmtId="0" fontId="50" fillId="2" borderId="0" xfId="0" applyFont="1" applyFill="1" applyBorder="1" applyProtection="1"/>
    <xf numFmtId="0" fontId="11" fillId="2" borderId="1" xfId="0" applyNumberFormat="1" applyFont="1" applyFill="1" applyBorder="1" applyAlignment="1" applyProtection="1">
      <alignment horizontal="center"/>
      <protection locked="0"/>
    </xf>
    <xf numFmtId="169" fontId="11" fillId="2" borderId="1" xfId="0" applyNumberFormat="1" applyFont="1" applyFill="1" applyBorder="1" applyAlignment="1" applyProtection="1">
      <alignment horizontal="center"/>
      <protection locked="0"/>
    </xf>
    <xf numFmtId="173" fontId="11" fillId="2" borderId="1" xfId="0" applyNumberFormat="1" applyFont="1" applyFill="1" applyBorder="1" applyAlignment="1" applyProtection="1">
      <alignment horizontal="center"/>
      <protection locked="0"/>
    </xf>
    <xf numFmtId="165" fontId="11" fillId="5" borderId="1" xfId="0" applyNumberFormat="1" applyFont="1" applyFill="1" applyBorder="1" applyAlignment="1" applyProtection="1">
      <alignment horizontal="center"/>
    </xf>
    <xf numFmtId="165" fontId="51" fillId="4" borderId="1" xfId="0" applyNumberFormat="1" applyFont="1" applyFill="1" applyBorder="1" applyAlignment="1" applyProtection="1">
      <alignment horizontal="center"/>
    </xf>
    <xf numFmtId="164" fontId="52" fillId="4" borderId="1" xfId="0" applyNumberFormat="1" applyFont="1" applyFill="1" applyBorder="1" applyAlignment="1" applyProtection="1">
      <alignment horizontal="center"/>
    </xf>
    <xf numFmtId="0" fontId="54" fillId="2" borderId="0" xfId="0" applyFont="1" applyFill="1" applyBorder="1" applyProtection="1"/>
    <xf numFmtId="0" fontId="6" fillId="3" borderId="0" xfId="0" applyFont="1" applyFill="1" applyBorder="1" applyProtection="1"/>
    <xf numFmtId="0" fontId="6" fillId="3" borderId="0" xfId="0" applyFont="1" applyFill="1" applyBorder="1" applyAlignment="1" applyProtection="1">
      <alignment horizontal="left"/>
    </xf>
    <xf numFmtId="0" fontId="6" fillId="3" borderId="0" xfId="0" applyFont="1" applyFill="1" applyBorder="1" applyAlignment="1" applyProtection="1"/>
    <xf numFmtId="0" fontId="6" fillId="3" borderId="0" xfId="0" applyFont="1" applyFill="1" applyBorder="1" applyAlignment="1" applyProtection="1">
      <alignment horizontal="center"/>
    </xf>
    <xf numFmtId="0" fontId="7" fillId="3" borderId="0" xfId="0" applyFont="1" applyFill="1" applyBorder="1" applyProtection="1"/>
    <xf numFmtId="0" fontId="7" fillId="3" borderId="0" xfId="0" applyFont="1" applyFill="1" applyBorder="1" applyAlignment="1" applyProtection="1">
      <alignment horizontal="left"/>
    </xf>
    <xf numFmtId="0" fontId="7" fillId="3" borderId="0" xfId="0" applyFont="1" applyFill="1" applyBorder="1" applyAlignment="1" applyProtection="1"/>
    <xf numFmtId="0" fontId="7" fillId="3" borderId="0" xfId="0" applyFont="1" applyFill="1" applyBorder="1" applyAlignment="1" applyProtection="1">
      <alignment horizontal="center"/>
    </xf>
    <xf numFmtId="0" fontId="13" fillId="3" borderId="0" xfId="0" applyFont="1" applyFill="1" applyBorder="1" applyProtection="1"/>
    <xf numFmtId="0" fontId="6" fillId="0" borderId="1" xfId="0" applyFont="1" applyFill="1" applyBorder="1" applyAlignment="1" applyProtection="1">
      <alignment horizontal="center"/>
      <protection locked="0"/>
    </xf>
    <xf numFmtId="164" fontId="6" fillId="0" borderId="1" xfId="0" applyNumberFormat="1" applyFont="1" applyFill="1" applyBorder="1" applyAlignment="1" applyProtection="1">
      <protection locked="0"/>
    </xf>
    <xf numFmtId="0" fontId="6" fillId="2" borderId="0" xfId="0" applyFont="1" applyFill="1" applyBorder="1" applyAlignment="1" applyProtection="1">
      <alignment horizontal="left"/>
    </xf>
    <xf numFmtId="0" fontId="6" fillId="2" borderId="0" xfId="0" applyFont="1" applyFill="1" applyBorder="1" applyAlignment="1" applyProtection="1"/>
    <xf numFmtId="0" fontId="14" fillId="2" borderId="0" xfId="0" applyFont="1" applyFill="1" applyBorder="1" applyAlignment="1" applyProtection="1"/>
    <xf numFmtId="0" fontId="7" fillId="2" borderId="0" xfId="0" applyFont="1" applyFill="1" applyBorder="1" applyAlignment="1" applyProtection="1">
      <alignment horizontal="left"/>
    </xf>
    <xf numFmtId="0" fontId="7" fillId="2" borderId="0" xfId="0" applyFont="1" applyFill="1" applyBorder="1" applyAlignment="1" applyProtection="1"/>
    <xf numFmtId="0" fontId="7" fillId="2" borderId="0" xfId="0" applyFont="1" applyFill="1" applyBorder="1" applyAlignment="1" applyProtection="1">
      <alignment horizontal="center"/>
    </xf>
    <xf numFmtId="0" fontId="6" fillId="2" borderId="3" xfId="0" applyFont="1" applyFill="1" applyBorder="1" applyAlignment="1" applyProtection="1">
      <alignment horizontal="left"/>
    </xf>
    <xf numFmtId="0" fontId="6" fillId="2" borderId="3" xfId="0" applyFont="1" applyFill="1" applyBorder="1" applyAlignment="1" applyProtection="1"/>
    <xf numFmtId="0" fontId="7" fillId="2" borderId="3" xfId="0" applyFont="1" applyFill="1" applyBorder="1" applyProtection="1"/>
    <xf numFmtId="0" fontId="14" fillId="2" borderId="5" xfId="0" applyFont="1" applyFill="1" applyBorder="1" applyProtection="1"/>
    <xf numFmtId="0" fontId="13" fillId="2" borderId="5" xfId="0" applyFont="1" applyFill="1" applyBorder="1" applyAlignment="1" applyProtection="1">
      <alignment horizontal="center"/>
    </xf>
    <xf numFmtId="0" fontId="13" fillId="2" borderId="6" xfId="0" applyFont="1" applyFill="1" applyBorder="1" applyAlignment="1" applyProtection="1">
      <alignment horizontal="center"/>
    </xf>
    <xf numFmtId="0" fontId="6" fillId="2" borderId="5" xfId="0" applyFont="1" applyFill="1" applyBorder="1" applyAlignment="1" applyProtection="1">
      <alignment horizontal="center"/>
    </xf>
    <xf numFmtId="0" fontId="6" fillId="2" borderId="6" xfId="0" applyFont="1" applyFill="1" applyBorder="1" applyAlignment="1" applyProtection="1">
      <alignment horizontal="center"/>
    </xf>
    <xf numFmtId="0" fontId="6" fillId="2" borderId="7" xfId="0" applyFont="1" applyFill="1" applyBorder="1" applyAlignment="1" applyProtection="1">
      <alignment horizontal="left"/>
    </xf>
    <xf numFmtId="0" fontId="6" fillId="2" borderId="7" xfId="0" applyFont="1" applyFill="1" applyBorder="1" applyAlignment="1" applyProtection="1"/>
    <xf numFmtId="0" fontId="55" fillId="2" borderId="0" xfId="0" applyFont="1" applyFill="1" applyBorder="1" applyAlignment="1" applyProtection="1">
      <alignment horizontal="left"/>
    </xf>
    <xf numFmtId="0" fontId="55" fillId="2" borderId="0" xfId="0" applyFont="1" applyFill="1" applyBorder="1" applyAlignment="1" applyProtection="1"/>
    <xf numFmtId="0" fontId="53" fillId="2" borderId="0" xfId="0" applyFont="1" applyFill="1" applyBorder="1" applyAlignment="1" applyProtection="1">
      <alignment horizontal="center"/>
    </xf>
    <xf numFmtId="0" fontId="53" fillId="2" borderId="0" xfId="0" applyFont="1" applyFill="1" applyBorder="1" applyProtection="1"/>
    <xf numFmtId="0" fontId="54" fillId="2" borderId="0" xfId="0" applyFont="1" applyFill="1" applyBorder="1" applyAlignment="1" applyProtection="1">
      <alignment horizontal="left"/>
    </xf>
    <xf numFmtId="0" fontId="54" fillId="2" borderId="0" xfId="0" applyFont="1" applyFill="1" applyBorder="1" applyAlignment="1" applyProtection="1"/>
    <xf numFmtId="0" fontId="54" fillId="2" borderId="0" xfId="0" applyFont="1" applyFill="1" applyBorder="1" applyAlignment="1" applyProtection="1">
      <alignment horizontal="center"/>
    </xf>
    <xf numFmtId="0" fontId="55" fillId="2" borderId="0" xfId="0" applyFont="1" applyFill="1" applyBorder="1" applyAlignment="1" applyProtection="1">
      <alignment horizontal="center"/>
    </xf>
    <xf numFmtId="0" fontId="53" fillId="2" borderId="0" xfId="0" applyFont="1" applyFill="1" applyBorder="1" applyAlignment="1" applyProtection="1">
      <alignment horizontal="left"/>
    </xf>
    <xf numFmtId="0" fontId="53" fillId="2" borderId="0" xfId="0" applyFont="1" applyFill="1" applyBorder="1" applyAlignment="1" applyProtection="1"/>
    <xf numFmtId="0" fontId="6" fillId="3" borderId="8" xfId="0" applyFont="1" applyFill="1" applyBorder="1" applyAlignment="1" applyProtection="1">
      <alignment horizontal="center"/>
    </xf>
    <xf numFmtId="0" fontId="6" fillId="3" borderId="9" xfId="0" applyFont="1" applyFill="1" applyBorder="1" applyAlignment="1" applyProtection="1">
      <alignment horizontal="left"/>
    </xf>
    <xf numFmtId="0" fontId="6" fillId="3" borderId="9" xfId="0" applyFont="1" applyFill="1" applyBorder="1" applyAlignment="1" applyProtection="1"/>
    <xf numFmtId="0" fontId="6" fillId="3" borderId="11" xfId="0" applyFont="1" applyFill="1" applyBorder="1" applyAlignment="1" applyProtection="1">
      <alignment horizontal="center"/>
    </xf>
    <xf numFmtId="0" fontId="6" fillId="2" borderId="1" xfId="0" applyFont="1" applyFill="1" applyBorder="1" applyAlignment="1" applyProtection="1">
      <alignment horizontal="left"/>
      <protection locked="0"/>
    </xf>
    <xf numFmtId="0" fontId="6" fillId="2" borderId="1" xfId="0" applyFont="1" applyFill="1" applyBorder="1" applyAlignment="1" applyProtection="1">
      <alignment horizontal="center"/>
      <protection locked="0"/>
    </xf>
    <xf numFmtId="164" fontId="6" fillId="2" borderId="1" xfId="0" applyNumberFormat="1" applyFont="1" applyFill="1" applyBorder="1" applyAlignment="1" applyProtection="1">
      <protection locked="0"/>
    </xf>
    <xf numFmtId="0" fontId="37" fillId="2" borderId="0" xfId="0" applyFont="1" applyFill="1" applyBorder="1" applyProtection="1"/>
    <xf numFmtId="0" fontId="39" fillId="2" borderId="0" xfId="0" applyFont="1" applyFill="1" applyBorder="1" applyAlignment="1" applyProtection="1">
      <alignment horizontal="left"/>
    </xf>
    <xf numFmtId="0" fontId="39" fillId="2" borderId="0" xfId="0" applyFont="1" applyFill="1" applyBorder="1" applyAlignment="1" applyProtection="1"/>
    <xf numFmtId="0" fontId="40" fillId="2" borderId="0" xfId="0" applyFont="1" applyFill="1" applyBorder="1" applyAlignment="1" applyProtection="1">
      <alignment horizontal="left"/>
    </xf>
    <xf numFmtId="0" fontId="37" fillId="2" borderId="0" xfId="0" applyFont="1" applyFill="1" applyBorder="1" applyAlignment="1" applyProtection="1"/>
    <xf numFmtId="0" fontId="38" fillId="2" borderId="0" xfId="0" applyFont="1" applyFill="1" applyBorder="1" applyAlignment="1" applyProtection="1">
      <alignment horizontal="left"/>
    </xf>
    <xf numFmtId="16" fontId="37" fillId="2" borderId="0" xfId="0" applyNumberFormat="1" applyFont="1" applyFill="1" applyBorder="1" applyAlignment="1" applyProtection="1">
      <alignment horizontal="center"/>
    </xf>
    <xf numFmtId="0" fontId="11" fillId="2" borderId="0" xfId="0" applyFont="1" applyFill="1" applyBorder="1" applyAlignment="1" applyProtection="1"/>
    <xf numFmtId="0" fontId="11" fillId="2" borderId="3" xfId="0" applyFont="1" applyFill="1" applyBorder="1" applyAlignment="1" applyProtection="1"/>
    <xf numFmtId="0" fontId="11" fillId="2" borderId="7" xfId="0" applyFont="1" applyFill="1" applyBorder="1" applyProtection="1"/>
    <xf numFmtId="0" fontId="11" fillId="2" borderId="7" xfId="0" applyFont="1" applyFill="1" applyBorder="1" applyAlignment="1" applyProtection="1"/>
    <xf numFmtId="0" fontId="11" fillId="3" borderId="0" xfId="0" applyFont="1" applyFill="1" applyProtection="1"/>
    <xf numFmtId="0" fontId="11" fillId="3" borderId="0" xfId="0" applyFont="1" applyFill="1" applyBorder="1" applyAlignment="1" applyProtection="1">
      <alignment horizontal="center"/>
    </xf>
    <xf numFmtId="0" fontId="62" fillId="3" borderId="0" xfId="0" applyFont="1" applyFill="1" applyBorder="1" applyProtection="1"/>
    <xf numFmtId="0" fontId="69" fillId="3" borderId="0" xfId="0" applyFont="1" applyFill="1" applyProtection="1"/>
    <xf numFmtId="0" fontId="16" fillId="3" borderId="0" xfId="0" applyFont="1" applyFill="1" applyProtection="1"/>
    <xf numFmtId="0" fontId="13" fillId="3" borderId="0" xfId="0" applyFont="1" applyFill="1" applyProtection="1"/>
    <xf numFmtId="0" fontId="11" fillId="3" borderId="0" xfId="0" applyFont="1" applyFill="1" applyAlignment="1" applyProtection="1">
      <alignment horizontal="center"/>
    </xf>
    <xf numFmtId="0" fontId="11" fillId="2" borderId="3" xfId="0" applyFont="1" applyFill="1" applyBorder="1" applyAlignment="1" applyProtection="1">
      <alignment horizontal="center"/>
    </xf>
    <xf numFmtId="0" fontId="69" fillId="2" borderId="5" xfId="0" applyFont="1" applyFill="1" applyBorder="1" applyProtection="1"/>
    <xf numFmtId="0" fontId="62" fillId="2" borderId="0" xfId="0" applyFont="1" applyFill="1" applyBorder="1" applyProtection="1"/>
    <xf numFmtId="0" fontId="69" fillId="2" borderId="0" xfId="0" applyFont="1" applyFill="1" applyBorder="1" applyProtection="1"/>
    <xf numFmtId="0" fontId="69" fillId="2" borderId="0" xfId="0" applyFont="1" applyFill="1" applyBorder="1" applyAlignment="1" applyProtection="1">
      <alignment horizontal="center"/>
    </xf>
    <xf numFmtId="0" fontId="69" fillId="2" borderId="6" xfId="0" applyFont="1" applyFill="1" applyBorder="1" applyProtection="1"/>
    <xf numFmtId="0" fontId="16" fillId="2" borderId="0" xfId="0" applyFont="1" applyFill="1" applyBorder="1" applyAlignment="1" applyProtection="1">
      <alignment horizontal="center"/>
    </xf>
    <xf numFmtId="0" fontId="42" fillId="2" borderId="0" xfId="0" applyFont="1" applyFill="1" applyBorder="1" applyProtection="1"/>
    <xf numFmtId="0" fontId="42" fillId="2" borderId="0" xfId="0" applyFont="1" applyFill="1" applyBorder="1" applyAlignment="1" applyProtection="1">
      <alignment horizontal="center"/>
    </xf>
    <xf numFmtId="0" fontId="11" fillId="2" borderId="17" xfId="0" applyFont="1" applyFill="1" applyBorder="1" applyProtection="1"/>
    <xf numFmtId="0" fontId="11" fillId="2" borderId="16" xfId="0" applyFont="1" applyFill="1" applyBorder="1" applyProtection="1"/>
    <xf numFmtId="0" fontId="11" fillId="3" borderId="1" xfId="0" applyFont="1" applyFill="1" applyBorder="1" applyAlignment="1" applyProtection="1">
      <alignment horizontal="center"/>
    </xf>
    <xf numFmtId="0" fontId="11" fillId="3" borderId="1" xfId="0" applyFont="1" applyFill="1" applyBorder="1" applyAlignment="1" applyProtection="1">
      <alignment horizontal="left"/>
    </xf>
    <xf numFmtId="49" fontId="11" fillId="3" borderId="1" xfId="0" applyNumberFormat="1" applyFont="1" applyFill="1" applyBorder="1" applyAlignment="1" applyProtection="1">
      <alignment horizontal="center"/>
    </xf>
    <xf numFmtId="0" fontId="40" fillId="3" borderId="1" xfId="0" applyFont="1" applyFill="1" applyBorder="1" applyProtection="1"/>
    <xf numFmtId="0" fontId="13" fillId="3" borderId="1" xfId="0" applyFont="1" applyFill="1" applyBorder="1" applyProtection="1"/>
    <xf numFmtId="0" fontId="6" fillId="3" borderId="1" xfId="0" applyFont="1" applyFill="1" applyBorder="1" applyProtection="1"/>
    <xf numFmtId="0" fontId="12" fillId="3" borderId="1" xfId="0" applyFont="1" applyFill="1" applyBorder="1" applyAlignment="1" applyProtection="1">
      <alignment horizontal="center"/>
    </xf>
    <xf numFmtId="174" fontId="11" fillId="3" borderId="1" xfId="0" applyNumberFormat="1" applyFont="1" applyFill="1" applyBorder="1" applyAlignment="1" applyProtection="1">
      <alignment horizontal="center"/>
    </xf>
    <xf numFmtId="0" fontId="6" fillId="3" borderId="0" xfId="0" applyFont="1" applyFill="1" applyProtection="1"/>
    <xf numFmtId="0" fontId="58" fillId="3" borderId="0" xfId="0" applyFont="1" applyFill="1" applyBorder="1" applyProtection="1"/>
    <xf numFmtId="0" fontId="7" fillId="3" borderId="0" xfId="0" applyFont="1" applyFill="1" applyProtection="1"/>
    <xf numFmtId="0" fontId="7" fillId="3" borderId="0" xfId="0" applyFont="1" applyFill="1" applyAlignment="1" applyProtection="1">
      <alignment horizontal="center"/>
    </xf>
    <xf numFmtId="0" fontId="6" fillId="3" borderId="0" xfId="0" applyFont="1" applyFill="1" applyAlignment="1" applyProtection="1">
      <alignment horizontal="center"/>
    </xf>
    <xf numFmtId="0" fontId="7" fillId="3" borderId="1" xfId="0" applyFont="1" applyFill="1" applyBorder="1" applyProtection="1"/>
    <xf numFmtId="49" fontId="6" fillId="3" borderId="1" xfId="0" applyNumberFormat="1" applyFont="1" applyFill="1" applyBorder="1" applyAlignment="1" applyProtection="1">
      <alignment horizontal="center"/>
    </xf>
    <xf numFmtId="0" fontId="7" fillId="3" borderId="1" xfId="0" applyFont="1" applyFill="1" applyBorder="1" applyAlignment="1" applyProtection="1">
      <alignment horizontal="center"/>
    </xf>
    <xf numFmtId="174" fontId="6" fillId="3" borderId="1" xfId="0" applyNumberFormat="1" applyFont="1" applyFill="1" applyBorder="1" applyAlignment="1" applyProtection="1">
      <alignment horizontal="center"/>
    </xf>
    <xf numFmtId="0" fontId="59" fillId="2" borderId="0" xfId="0" applyFont="1" applyFill="1" applyBorder="1" applyAlignment="1" applyProtection="1">
      <alignment horizontal="right"/>
    </xf>
    <xf numFmtId="0" fontId="58" fillId="2" borderId="0" xfId="0" applyFont="1" applyFill="1" applyBorder="1" applyProtection="1"/>
    <xf numFmtId="0" fontId="42" fillId="2" borderId="7" xfId="0" applyFont="1" applyFill="1" applyBorder="1" applyProtection="1"/>
    <xf numFmtId="0" fontId="42" fillId="2" borderId="7" xfId="0" applyFont="1" applyFill="1" applyBorder="1" applyAlignment="1" applyProtection="1">
      <alignment horizontal="center"/>
    </xf>
    <xf numFmtId="0" fontId="42" fillId="2" borderId="3" xfId="0" applyFont="1" applyFill="1" applyBorder="1" applyProtection="1"/>
    <xf numFmtId="0" fontId="42" fillId="2" borderId="3" xfId="0" applyFont="1" applyFill="1" applyBorder="1" applyAlignment="1" applyProtection="1">
      <alignment horizontal="center"/>
    </xf>
    <xf numFmtId="0" fontId="61" fillId="3" borderId="1" xfId="0" applyFont="1" applyFill="1" applyBorder="1" applyProtection="1"/>
    <xf numFmtId="0" fontId="40" fillId="3" borderId="1" xfId="0" applyFont="1" applyFill="1" applyBorder="1" applyAlignment="1" applyProtection="1">
      <alignment horizontal="center"/>
    </xf>
    <xf numFmtId="0" fontId="15" fillId="3" borderId="1" xfId="0" applyFont="1" applyFill="1" applyBorder="1" applyAlignment="1" applyProtection="1">
      <alignment horizontal="center"/>
    </xf>
    <xf numFmtId="0" fontId="25" fillId="3" borderId="0" xfId="0" applyFont="1" applyFill="1" applyBorder="1" applyProtection="1"/>
    <xf numFmtId="0" fontId="25" fillId="3" borderId="0" xfId="0" applyFont="1" applyFill="1" applyProtection="1"/>
    <xf numFmtId="0" fontId="46" fillId="3" borderId="0" xfId="0" applyFont="1" applyFill="1" applyBorder="1" applyProtection="1"/>
    <xf numFmtId="0" fontId="25" fillId="2" borderId="5" xfId="0" applyFont="1" applyFill="1" applyBorder="1" applyProtection="1"/>
    <xf numFmtId="0" fontId="25" fillId="2" borderId="0" xfId="0" applyFont="1" applyFill="1" applyBorder="1" applyProtection="1"/>
    <xf numFmtId="0" fontId="25" fillId="2" borderId="6" xfId="0" applyFont="1" applyFill="1" applyBorder="1" applyProtection="1"/>
    <xf numFmtId="0" fontId="43" fillId="2" borderId="0" xfId="0" applyFont="1" applyFill="1" applyBorder="1" applyProtection="1"/>
    <xf numFmtId="0" fontId="43" fillId="2" borderId="7" xfId="0" applyFont="1" applyFill="1" applyBorder="1" applyProtection="1"/>
    <xf numFmtId="0" fontId="43" fillId="2" borderId="3" xfId="0" applyFont="1" applyFill="1" applyBorder="1" applyProtection="1"/>
    <xf numFmtId="164" fontId="6" fillId="3" borderId="1" xfId="0" applyNumberFormat="1" applyFont="1" applyFill="1" applyBorder="1" applyProtection="1"/>
    <xf numFmtId="164" fontId="6" fillId="3" borderId="1" xfId="0" applyNumberFormat="1" applyFont="1" applyFill="1" applyBorder="1" applyAlignment="1" applyProtection="1">
      <alignment horizontal="center"/>
    </xf>
    <xf numFmtId="0" fontId="58" fillId="2" borderId="0" xfId="0" applyFont="1" applyFill="1" applyBorder="1" applyAlignment="1" applyProtection="1">
      <alignment horizontal="center"/>
    </xf>
    <xf numFmtId="174" fontId="11" fillId="3" borderId="0" xfId="0" applyNumberFormat="1" applyFont="1" applyFill="1" applyBorder="1" applyAlignment="1" applyProtection="1">
      <alignment horizontal="center"/>
    </xf>
    <xf numFmtId="0" fontId="11" fillId="3" borderId="0" xfId="0" applyNumberFormat="1" applyFont="1" applyFill="1" applyBorder="1" applyAlignment="1" applyProtection="1">
      <alignment horizontal="center"/>
    </xf>
    <xf numFmtId="169" fontId="11" fillId="3" borderId="0" xfId="0" applyNumberFormat="1" applyFont="1" applyFill="1" applyBorder="1" applyAlignment="1" applyProtection="1">
      <alignment horizontal="center"/>
    </xf>
    <xf numFmtId="169" fontId="11" fillId="3" borderId="0" xfId="0" applyNumberFormat="1" applyFont="1" applyFill="1" applyBorder="1" applyProtection="1"/>
    <xf numFmtId="0" fontId="11" fillId="3" borderId="0" xfId="0" applyNumberFormat="1" applyFont="1" applyFill="1" applyBorder="1" applyAlignment="1" applyProtection="1"/>
    <xf numFmtId="170" fontId="6" fillId="3" borderId="0" xfId="0" applyNumberFormat="1" applyFont="1" applyFill="1" applyBorder="1" applyProtection="1"/>
    <xf numFmtId="2" fontId="11" fillId="3" borderId="0" xfId="0" applyNumberFormat="1" applyFont="1" applyFill="1" applyBorder="1" applyProtection="1"/>
    <xf numFmtId="164" fontId="15" fillId="3" borderId="0" xfId="0" applyNumberFormat="1" applyFont="1" applyFill="1" applyBorder="1" applyProtection="1"/>
    <xf numFmtId="171" fontId="11" fillId="3" borderId="0" xfId="0" applyNumberFormat="1" applyFont="1" applyFill="1" applyBorder="1" applyProtection="1"/>
    <xf numFmtId="0" fontId="71" fillId="3" borderId="0" xfId="0" applyFont="1" applyFill="1" applyBorder="1" applyProtection="1"/>
    <xf numFmtId="0" fontId="71" fillId="3" borderId="0" xfId="0" applyNumberFormat="1" applyFont="1" applyFill="1" applyBorder="1" applyAlignment="1" applyProtection="1">
      <alignment horizontal="center"/>
    </xf>
    <xf numFmtId="169" fontId="71" fillId="3" borderId="0" xfId="0" applyNumberFormat="1" applyFont="1" applyFill="1" applyBorder="1" applyAlignment="1" applyProtection="1">
      <alignment horizontal="center"/>
    </xf>
    <xf numFmtId="169" fontId="71" fillId="3" borderId="0" xfId="0" applyNumberFormat="1" applyFont="1" applyFill="1" applyBorder="1" applyProtection="1"/>
    <xf numFmtId="164" fontId="71" fillId="3" borderId="0" xfId="0" applyNumberFormat="1" applyFont="1" applyFill="1" applyBorder="1" applyProtection="1"/>
    <xf numFmtId="0" fontId="71" fillId="3" borderId="0" xfId="0" applyNumberFormat="1" applyFont="1" applyFill="1" applyBorder="1" applyProtection="1"/>
    <xf numFmtId="1" fontId="71" fillId="3" borderId="0" xfId="0" applyNumberFormat="1" applyFont="1" applyFill="1" applyBorder="1" applyProtection="1"/>
    <xf numFmtId="0" fontId="28" fillId="3" borderId="0" xfId="0" applyFont="1" applyFill="1" applyBorder="1" applyProtection="1"/>
    <xf numFmtId="0" fontId="28" fillId="3" borderId="0" xfId="0" applyNumberFormat="1" applyFont="1" applyFill="1" applyBorder="1" applyAlignment="1" applyProtection="1">
      <alignment horizontal="center"/>
    </xf>
    <xf numFmtId="169" fontId="28" fillId="3" borderId="0" xfId="0" applyNumberFormat="1" applyFont="1" applyFill="1" applyBorder="1" applyAlignment="1" applyProtection="1">
      <alignment horizontal="center"/>
    </xf>
    <xf numFmtId="169" fontId="28" fillId="3" borderId="0" xfId="0" applyNumberFormat="1" applyFont="1" applyFill="1" applyBorder="1" applyProtection="1"/>
    <xf numFmtId="164" fontId="28" fillId="3" borderId="0" xfId="0" applyNumberFormat="1" applyFont="1" applyFill="1" applyBorder="1" applyProtection="1"/>
    <xf numFmtId="0" fontId="28" fillId="3" borderId="0" xfId="0" applyNumberFormat="1" applyFont="1" applyFill="1" applyBorder="1" applyProtection="1"/>
    <xf numFmtId="1" fontId="28" fillId="3" borderId="0" xfId="0" applyNumberFormat="1" applyFont="1" applyFill="1" applyBorder="1" applyProtection="1"/>
    <xf numFmtId="0" fontId="11" fillId="3" borderId="0" xfId="0" applyNumberFormat="1" applyFont="1" applyFill="1" applyBorder="1" applyProtection="1"/>
    <xf numFmtId="164" fontId="11" fillId="3" borderId="0" xfId="0" applyNumberFormat="1" applyFont="1" applyFill="1" applyBorder="1" applyProtection="1"/>
    <xf numFmtId="0" fontId="17" fillId="3" borderId="0" xfId="0" applyFont="1" applyFill="1" applyBorder="1" applyProtection="1"/>
    <xf numFmtId="0" fontId="17" fillId="3" borderId="0" xfId="0" applyNumberFormat="1" applyFont="1" applyFill="1" applyBorder="1" applyAlignment="1" applyProtection="1">
      <alignment horizontal="center"/>
    </xf>
    <xf numFmtId="169" fontId="17" fillId="3" borderId="0" xfId="0" applyNumberFormat="1" applyFont="1" applyFill="1" applyBorder="1" applyAlignment="1" applyProtection="1">
      <alignment horizontal="center"/>
    </xf>
    <xf numFmtId="169" fontId="17" fillId="3" borderId="0" xfId="0" applyNumberFormat="1" applyFont="1" applyFill="1" applyBorder="1" applyProtection="1"/>
    <xf numFmtId="0" fontId="17" fillId="3" borderId="0" xfId="0" applyNumberFormat="1" applyFont="1" applyFill="1" applyBorder="1" applyProtection="1"/>
    <xf numFmtId="164" fontId="17" fillId="3" borderId="0" xfId="0" applyNumberFormat="1" applyFont="1" applyFill="1" applyBorder="1" applyProtection="1"/>
    <xf numFmtId="1" fontId="17" fillId="3" borderId="0" xfId="0" applyNumberFormat="1" applyFont="1" applyFill="1" applyBorder="1" applyProtection="1"/>
    <xf numFmtId="175" fontId="12" fillId="3" borderId="0" xfId="0" applyNumberFormat="1" applyFont="1" applyFill="1" applyBorder="1" applyAlignment="1" applyProtection="1">
      <alignment horizontal="left"/>
    </xf>
    <xf numFmtId="0" fontId="11" fillId="3" borderId="0" xfId="0" applyNumberFormat="1" applyFont="1" applyFill="1" applyProtection="1"/>
    <xf numFmtId="164" fontId="11" fillId="3" borderId="0" xfId="0" applyNumberFormat="1" applyFont="1" applyFill="1" applyProtection="1"/>
    <xf numFmtId="169" fontId="11" fillId="3" borderId="0" xfId="0" applyNumberFormat="1" applyFont="1" applyFill="1" applyAlignment="1" applyProtection="1">
      <alignment horizontal="center"/>
    </xf>
    <xf numFmtId="0" fontId="11" fillId="3" borderId="0" xfId="0" applyNumberFormat="1" applyFont="1" applyFill="1" applyAlignment="1" applyProtection="1">
      <alignment horizontal="center"/>
    </xf>
    <xf numFmtId="169" fontId="11" fillId="3" borderId="0" xfId="0" applyNumberFormat="1" applyFont="1" applyFill="1" applyProtection="1"/>
    <xf numFmtId="1" fontId="11" fillId="3" borderId="0" xfId="0" applyNumberFormat="1" applyFont="1" applyFill="1" applyProtection="1"/>
    <xf numFmtId="170" fontId="25" fillId="3" borderId="0" xfId="0" applyNumberFormat="1" applyFont="1" applyFill="1" applyBorder="1" applyAlignment="1" applyProtection="1">
      <alignment horizontal="center"/>
    </xf>
    <xf numFmtId="0" fontId="37" fillId="3" borderId="0" xfId="0" applyFont="1" applyFill="1" applyBorder="1" applyAlignment="1" applyProtection="1">
      <alignment horizontal="center"/>
    </xf>
    <xf numFmtId="170" fontId="21" fillId="3" borderId="0" xfId="0" applyNumberFormat="1" applyFont="1" applyFill="1" applyBorder="1" applyAlignment="1" applyProtection="1">
      <alignment horizontal="center"/>
    </xf>
    <xf numFmtId="170" fontId="25" fillId="3" borderId="0" xfId="3" applyNumberFormat="1" applyFont="1" applyFill="1" applyBorder="1" applyProtection="1"/>
    <xf numFmtId="170" fontId="15" fillId="3" borderId="0" xfId="0" applyNumberFormat="1" applyFont="1" applyFill="1" applyBorder="1" applyAlignment="1" applyProtection="1">
      <alignment horizontal="center"/>
    </xf>
    <xf numFmtId="170" fontId="11" fillId="3" borderId="0" xfId="0" applyNumberFormat="1" applyFont="1" applyFill="1" applyBorder="1" applyAlignment="1" applyProtection="1">
      <alignment horizontal="center"/>
    </xf>
    <xf numFmtId="170" fontId="11" fillId="3" borderId="0" xfId="3" applyNumberFormat="1" applyFont="1" applyFill="1" applyBorder="1" applyProtection="1"/>
    <xf numFmtId="49" fontId="29" fillId="3" borderId="0" xfId="0" applyNumberFormat="1" applyFont="1" applyFill="1" applyAlignment="1" applyProtection="1">
      <alignment horizontal="right"/>
    </xf>
    <xf numFmtId="0" fontId="29" fillId="3" borderId="0" xfId="0" applyFont="1" applyFill="1" applyAlignment="1" applyProtection="1">
      <alignment horizontal="right"/>
    </xf>
    <xf numFmtId="169" fontId="11" fillId="3" borderId="0" xfId="3" applyNumberFormat="1" applyFont="1" applyFill="1" applyBorder="1" applyAlignment="1" applyProtection="1">
      <alignment horizontal="center"/>
    </xf>
    <xf numFmtId="170" fontId="11" fillId="3" borderId="0" xfId="3" applyNumberFormat="1" applyFont="1" applyFill="1" applyBorder="1" applyAlignment="1" applyProtection="1"/>
    <xf numFmtId="170" fontId="6" fillId="3" borderId="0" xfId="3" applyNumberFormat="1" applyFont="1" applyFill="1" applyBorder="1" applyAlignment="1" applyProtection="1">
      <alignment horizontal="left"/>
    </xf>
    <xf numFmtId="2" fontId="11" fillId="3" borderId="0" xfId="0" applyNumberFormat="1" applyFont="1" applyFill="1" applyBorder="1" applyAlignment="1" applyProtection="1">
      <alignment horizontal="center"/>
    </xf>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174"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169" fontId="12" fillId="3" borderId="0" xfId="3" applyNumberFormat="1" applyFont="1" applyFill="1" applyBorder="1" applyAlignment="1" applyProtection="1">
      <alignment horizontal="center"/>
    </xf>
    <xf numFmtId="169" fontId="12" fillId="3" borderId="0" xfId="0" applyNumberFormat="1" applyFont="1" applyFill="1" applyBorder="1" applyAlignment="1" applyProtection="1">
      <alignment horizontal="center"/>
    </xf>
    <xf numFmtId="170" fontId="12" fillId="3" borderId="0" xfId="3" applyNumberFormat="1" applyFont="1" applyFill="1" applyBorder="1" applyAlignment="1" applyProtection="1"/>
    <xf numFmtId="170" fontId="12" fillId="3" borderId="0" xfId="3" applyNumberFormat="1" applyFont="1" applyFill="1" applyBorder="1" applyProtection="1"/>
    <xf numFmtId="2" fontId="12" fillId="3" borderId="0" xfId="0" applyNumberFormat="1" applyFont="1" applyFill="1" applyBorder="1" applyAlignment="1" applyProtection="1">
      <alignment horizontal="center"/>
    </xf>
    <xf numFmtId="171" fontId="12" fillId="3" borderId="0" xfId="0" applyNumberFormat="1" applyFont="1" applyFill="1" applyBorder="1" applyProtection="1"/>
    <xf numFmtId="169" fontId="12" fillId="3" borderId="0" xfId="0" applyNumberFormat="1" applyFont="1" applyFill="1" applyBorder="1" applyProtection="1"/>
    <xf numFmtId="0" fontId="12" fillId="3" borderId="0" xfId="0" applyNumberFormat="1" applyFont="1" applyFill="1" applyBorder="1" applyAlignment="1" applyProtection="1"/>
    <xf numFmtId="2" fontId="12" fillId="3" borderId="0" xfId="0" applyNumberFormat="1" applyFont="1" applyFill="1" applyBorder="1" applyProtection="1"/>
    <xf numFmtId="0" fontId="11" fillId="2" borderId="3" xfId="0" applyFont="1" applyFill="1" applyBorder="1" applyAlignment="1" applyProtection="1">
      <alignment horizontal="left"/>
    </xf>
    <xf numFmtId="174" fontId="11" fillId="2" borderId="3" xfId="0" applyNumberFormat="1" applyFont="1" applyFill="1" applyBorder="1" applyAlignment="1" applyProtection="1">
      <alignment horizontal="center"/>
    </xf>
    <xf numFmtId="0" fontId="11" fillId="2" borderId="3" xfId="0" applyNumberFormat="1" applyFont="1" applyFill="1" applyBorder="1" applyAlignment="1" applyProtection="1">
      <alignment horizontal="center"/>
    </xf>
    <xf numFmtId="169" fontId="11" fillId="2" borderId="3" xfId="0" applyNumberFormat="1" applyFont="1" applyFill="1" applyBorder="1" applyAlignment="1" applyProtection="1">
      <alignment horizontal="center"/>
    </xf>
    <xf numFmtId="169" fontId="11" fillId="2" borderId="3" xfId="0" applyNumberFormat="1" applyFont="1" applyFill="1" applyBorder="1" applyProtection="1"/>
    <xf numFmtId="0" fontId="11" fillId="2" borderId="3" xfId="0" applyNumberFormat="1" applyFont="1" applyFill="1" applyBorder="1" applyAlignment="1" applyProtection="1"/>
    <xf numFmtId="170" fontId="6" fillId="2" borderId="3" xfId="0" applyNumberFormat="1" applyFont="1" applyFill="1" applyBorder="1" applyProtection="1"/>
    <xf numFmtId="2" fontId="11" fillId="2" borderId="3" xfId="0" applyNumberFormat="1" applyFont="1" applyFill="1" applyBorder="1" applyProtection="1"/>
    <xf numFmtId="0" fontId="11" fillId="2" borderId="0" xfId="0" applyFont="1" applyFill="1" applyBorder="1" applyAlignment="1" applyProtection="1">
      <alignment horizontal="left"/>
    </xf>
    <xf numFmtId="174"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169" fontId="11" fillId="2" borderId="0" xfId="0" applyNumberFormat="1" applyFont="1" applyFill="1" applyBorder="1" applyAlignment="1" applyProtection="1">
      <alignment horizontal="center"/>
    </xf>
    <xf numFmtId="169" fontId="11" fillId="2" borderId="0" xfId="0" applyNumberFormat="1" applyFont="1" applyFill="1" applyBorder="1" applyProtection="1"/>
    <xf numFmtId="0" fontId="11" fillId="2" borderId="0" xfId="0" applyNumberFormat="1" applyFont="1" applyFill="1" applyBorder="1" applyAlignment="1" applyProtection="1"/>
    <xf numFmtId="170" fontId="6" fillId="2" borderId="0" xfId="0" applyNumberFormat="1" applyFont="1" applyFill="1" applyBorder="1" applyProtection="1"/>
    <xf numFmtId="2" fontId="11" fillId="2" borderId="0" xfId="0" applyNumberFormat="1" applyFont="1" applyFill="1" applyBorder="1" applyProtection="1"/>
    <xf numFmtId="0" fontId="70" fillId="2" borderId="5" xfId="0" applyFont="1" applyFill="1" applyBorder="1" applyAlignment="1" applyProtection="1">
      <alignment horizontal="left"/>
    </xf>
    <xf numFmtId="0" fontId="62" fillId="2" borderId="0" xfId="0" applyFont="1" applyFill="1" applyBorder="1" applyAlignment="1" applyProtection="1">
      <alignment horizontal="left"/>
    </xf>
    <xf numFmtId="0" fontId="71" fillId="2" borderId="0" xfId="0" applyFont="1" applyFill="1" applyBorder="1" applyProtection="1"/>
    <xf numFmtId="0" fontId="71" fillId="2" borderId="0" xfId="0" applyFont="1" applyFill="1" applyBorder="1" applyAlignment="1" applyProtection="1">
      <alignment horizontal="left"/>
    </xf>
    <xf numFmtId="0" fontId="71" fillId="2" borderId="0" xfId="0" applyFont="1" applyFill="1" applyBorder="1" applyAlignment="1" applyProtection="1">
      <alignment horizontal="center"/>
    </xf>
    <xf numFmtId="174" fontId="71" fillId="2" borderId="0" xfId="0" applyNumberFormat="1" applyFont="1" applyFill="1" applyBorder="1" applyAlignment="1" applyProtection="1">
      <alignment horizontal="center"/>
    </xf>
    <xf numFmtId="0" fontId="71" fillId="2" borderId="0" xfId="0" applyNumberFormat="1" applyFont="1" applyFill="1" applyBorder="1" applyAlignment="1" applyProtection="1">
      <alignment horizontal="center"/>
    </xf>
    <xf numFmtId="169" fontId="71" fillId="2" borderId="0" xfId="0" applyNumberFormat="1" applyFont="1" applyFill="1" applyBorder="1" applyAlignment="1" applyProtection="1">
      <alignment horizontal="center"/>
    </xf>
    <xf numFmtId="169" fontId="71" fillId="2" borderId="0" xfId="0" applyNumberFormat="1" applyFont="1" applyFill="1" applyBorder="1" applyProtection="1"/>
    <xf numFmtId="0" fontId="71" fillId="2" borderId="0" xfId="0" applyNumberFormat="1" applyFont="1" applyFill="1" applyBorder="1" applyAlignment="1" applyProtection="1"/>
    <xf numFmtId="170" fontId="71" fillId="2" borderId="0" xfId="0" applyNumberFormat="1" applyFont="1" applyFill="1" applyBorder="1" applyProtection="1"/>
    <xf numFmtId="2" fontId="71" fillId="2" borderId="0" xfId="0" applyNumberFormat="1" applyFont="1" applyFill="1" applyBorder="1" applyProtection="1"/>
    <xf numFmtId="0" fontId="71" fillId="2" borderId="6" xfId="0" applyFont="1" applyFill="1" applyBorder="1" applyProtection="1"/>
    <xf numFmtId="0" fontId="27" fillId="2" borderId="5" xfId="0" applyFont="1" applyFill="1" applyBorder="1" applyAlignment="1" applyProtection="1">
      <alignment horizontal="left"/>
    </xf>
    <xf numFmtId="0" fontId="28" fillId="2" borderId="0" xfId="0" applyFont="1" applyFill="1" applyBorder="1" applyProtection="1"/>
    <xf numFmtId="0" fontId="28" fillId="2" borderId="0" xfId="0" applyFont="1" applyFill="1" applyBorder="1" applyAlignment="1" applyProtection="1">
      <alignment horizontal="left"/>
    </xf>
    <xf numFmtId="0" fontId="28" fillId="2" borderId="0" xfId="0" applyFont="1" applyFill="1" applyBorder="1" applyAlignment="1" applyProtection="1">
      <alignment horizontal="center"/>
    </xf>
    <xf numFmtId="174" fontId="28" fillId="2" borderId="0" xfId="0" applyNumberFormat="1" applyFont="1" applyFill="1" applyBorder="1" applyAlignment="1" applyProtection="1">
      <alignment horizontal="center"/>
    </xf>
    <xf numFmtId="0" fontId="28" fillId="2" borderId="0" xfId="0" applyNumberFormat="1" applyFont="1" applyFill="1" applyBorder="1" applyAlignment="1" applyProtection="1">
      <alignment horizontal="center"/>
    </xf>
    <xf numFmtId="169" fontId="28" fillId="2" borderId="0" xfId="0" applyNumberFormat="1" applyFont="1" applyFill="1" applyBorder="1" applyAlignment="1" applyProtection="1">
      <alignment horizontal="center"/>
    </xf>
    <xf numFmtId="169" fontId="28" fillId="2" borderId="0" xfId="0" applyNumberFormat="1" applyFont="1" applyFill="1" applyBorder="1" applyProtection="1"/>
    <xf numFmtId="0" fontId="28" fillId="2" borderId="0" xfId="0" applyNumberFormat="1" applyFont="1" applyFill="1" applyBorder="1" applyAlignment="1" applyProtection="1"/>
    <xf numFmtId="170" fontId="28" fillId="2" borderId="0" xfId="0" applyNumberFormat="1" applyFont="1" applyFill="1" applyBorder="1" applyProtection="1"/>
    <xf numFmtId="2" fontId="28" fillId="2" borderId="0" xfId="0" applyNumberFormat="1" applyFont="1" applyFill="1" applyBorder="1" applyProtection="1"/>
    <xf numFmtId="0" fontId="28" fillId="2" borderId="6" xfId="0" applyFont="1" applyFill="1" applyBorder="1" applyProtection="1"/>
    <xf numFmtId="0" fontId="17" fillId="2" borderId="5" xfId="0" applyFont="1" applyFill="1" applyBorder="1" applyProtection="1"/>
    <xf numFmtId="0" fontId="17" fillId="2" borderId="0" xfId="0" applyFont="1" applyFill="1" applyBorder="1" applyProtection="1"/>
    <xf numFmtId="0" fontId="18" fillId="2" borderId="0" xfId="0" applyFont="1" applyFill="1" applyBorder="1" applyAlignment="1" applyProtection="1">
      <alignment horizontal="left"/>
    </xf>
    <xf numFmtId="0" fontId="20" fillId="2" borderId="0" xfId="0" applyFont="1" applyFill="1" applyBorder="1" applyAlignment="1" applyProtection="1">
      <alignment horizontal="left"/>
    </xf>
    <xf numFmtId="0" fontId="20" fillId="2" borderId="0" xfId="0" applyFont="1" applyFill="1" applyBorder="1" applyAlignment="1" applyProtection="1">
      <alignment horizontal="center"/>
    </xf>
    <xf numFmtId="174" fontId="20" fillId="2" borderId="0" xfId="0" applyNumberFormat="1" applyFont="1" applyFill="1" applyBorder="1" applyAlignment="1" applyProtection="1">
      <alignment horizontal="center"/>
    </xf>
    <xf numFmtId="0" fontId="17" fillId="2" borderId="0" xfId="0" applyNumberFormat="1" applyFont="1" applyFill="1" applyBorder="1" applyAlignment="1" applyProtection="1">
      <alignment horizontal="center"/>
    </xf>
    <xf numFmtId="169" fontId="17" fillId="2" borderId="0" xfId="0" applyNumberFormat="1" applyFont="1" applyFill="1" applyBorder="1" applyAlignment="1" applyProtection="1">
      <alignment horizontal="center"/>
    </xf>
    <xf numFmtId="169" fontId="17" fillId="2" borderId="0" xfId="0" applyNumberFormat="1" applyFont="1" applyFill="1" applyBorder="1" applyProtection="1"/>
    <xf numFmtId="0" fontId="17" fillId="2" borderId="0" xfId="0" applyNumberFormat="1" applyFont="1" applyFill="1" applyBorder="1" applyAlignment="1" applyProtection="1"/>
    <xf numFmtId="170" fontId="17" fillId="2" borderId="0" xfId="0" applyNumberFormat="1" applyFont="1" applyFill="1" applyBorder="1" applyProtection="1"/>
    <xf numFmtId="2" fontId="17" fillId="2" borderId="0" xfId="0" applyNumberFormat="1" applyFont="1" applyFill="1" applyBorder="1" applyProtection="1"/>
    <xf numFmtId="0" fontId="17" fillId="2" borderId="6" xfId="0" applyFont="1" applyFill="1" applyBorder="1" applyProtection="1"/>
    <xf numFmtId="175" fontId="12" fillId="2" borderId="0" xfId="0" applyNumberFormat="1" applyFont="1" applyFill="1" applyBorder="1" applyAlignment="1" applyProtection="1">
      <alignment horizontal="left"/>
    </xf>
    <xf numFmtId="174" fontId="13" fillId="2" borderId="0" xfId="0" applyNumberFormat="1" applyFont="1" applyFill="1" applyBorder="1" applyAlignment="1" applyProtection="1">
      <alignment horizontal="center"/>
    </xf>
    <xf numFmtId="0" fontId="19" fillId="2" borderId="0" xfId="0" applyFont="1" applyFill="1" applyBorder="1" applyAlignment="1" applyProtection="1">
      <alignment horizontal="left"/>
    </xf>
    <xf numFmtId="0" fontId="15" fillId="2" borderId="0" xfId="0" applyNumberFormat="1" applyFont="1" applyFill="1" applyBorder="1" applyAlignment="1" applyProtection="1">
      <alignment horizontal="center"/>
    </xf>
    <xf numFmtId="169" fontId="11" fillId="2" borderId="0" xfId="3" applyNumberFormat="1" applyFont="1" applyFill="1" applyBorder="1" applyAlignment="1" applyProtection="1">
      <alignment horizontal="center"/>
    </xf>
    <xf numFmtId="170" fontId="11" fillId="2" borderId="0" xfId="3" applyNumberFormat="1" applyFont="1" applyFill="1" applyBorder="1" applyAlignment="1" applyProtection="1"/>
    <xf numFmtId="170" fontId="11" fillId="2" borderId="0" xfId="3" applyNumberFormat="1" applyFont="1" applyFill="1" applyBorder="1" applyProtection="1"/>
    <xf numFmtId="170" fontId="6" fillId="2" borderId="0" xfId="3" applyNumberFormat="1" applyFont="1" applyFill="1" applyBorder="1" applyAlignment="1" applyProtection="1">
      <alignment horizontal="left"/>
    </xf>
    <xf numFmtId="2" fontId="11" fillId="2" borderId="0" xfId="0" applyNumberFormat="1" applyFont="1" applyFill="1" applyBorder="1" applyAlignment="1" applyProtection="1">
      <alignment horizontal="center"/>
    </xf>
    <xf numFmtId="0" fontId="11" fillId="3" borderId="1" xfId="0" applyNumberFormat="1" applyFont="1" applyFill="1" applyBorder="1" applyAlignment="1" applyProtection="1">
      <alignment horizontal="center"/>
    </xf>
    <xf numFmtId="169" fontId="11" fillId="3" borderId="1" xfId="0" applyNumberFormat="1" applyFont="1" applyFill="1" applyBorder="1" applyAlignment="1" applyProtection="1">
      <alignment horizontal="center"/>
    </xf>
    <xf numFmtId="169" fontId="11" fillId="3" borderId="1" xfId="0" applyNumberFormat="1" applyFont="1" applyFill="1" applyBorder="1" applyProtection="1"/>
    <xf numFmtId="0" fontId="11" fillId="3" borderId="1" xfId="0" applyNumberFormat="1" applyFont="1" applyFill="1" applyBorder="1" applyAlignment="1" applyProtection="1"/>
    <xf numFmtId="170" fontId="6" fillId="3" borderId="1" xfId="0" applyNumberFormat="1" applyFont="1" applyFill="1" applyBorder="1" applyProtection="1"/>
    <xf numFmtId="2" fontId="11" fillId="3" borderId="1" xfId="0" applyNumberFormat="1" applyFont="1" applyFill="1" applyBorder="1" applyProtection="1"/>
    <xf numFmtId="0" fontId="25" fillId="3" borderId="1" xfId="0" applyFont="1" applyFill="1" applyBorder="1" applyProtection="1"/>
    <xf numFmtId="0" fontId="15" fillId="3" borderId="1" xfId="0" applyNumberFormat="1" applyFont="1" applyFill="1" applyBorder="1" applyAlignment="1" applyProtection="1">
      <alignment horizontal="center"/>
    </xf>
    <xf numFmtId="169"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center"/>
    </xf>
    <xf numFmtId="170" fontId="15" fillId="3" borderId="1" xfId="0" applyNumberFormat="1" applyFont="1" applyFill="1" applyBorder="1" applyAlignment="1" applyProtection="1">
      <alignment horizontal="left"/>
    </xf>
    <xf numFmtId="170" fontId="11" fillId="3" borderId="1" xfId="0" applyNumberFormat="1" applyFont="1" applyFill="1" applyBorder="1" applyAlignment="1" applyProtection="1">
      <alignment horizontal="center"/>
    </xf>
    <xf numFmtId="170" fontId="6" fillId="3" borderId="1" xfId="0" applyNumberFormat="1" applyFont="1" applyFill="1" applyBorder="1" applyAlignment="1" applyProtection="1">
      <alignment horizontal="center"/>
    </xf>
    <xf numFmtId="2" fontId="15" fillId="3" borderId="1" xfId="0" applyNumberFormat="1" applyFont="1" applyFill="1" applyBorder="1" applyAlignment="1" applyProtection="1">
      <alignment horizontal="center"/>
    </xf>
    <xf numFmtId="170" fontId="11" fillId="3" borderId="1" xfId="3" applyNumberFormat="1" applyFont="1" applyFill="1" applyBorder="1" applyProtection="1"/>
    <xf numFmtId="0" fontId="12" fillId="3" borderId="1" xfId="0" applyFont="1" applyFill="1" applyBorder="1" applyAlignment="1" applyProtection="1">
      <alignment horizontal="left"/>
    </xf>
    <xf numFmtId="174" fontId="12" fillId="3" borderId="1" xfId="0" applyNumberFormat="1" applyFont="1" applyFill="1" applyBorder="1" applyAlignment="1" applyProtection="1">
      <alignment horizontal="center"/>
    </xf>
    <xf numFmtId="0" fontId="12" fillId="3" borderId="1" xfId="0" applyNumberFormat="1" applyFont="1" applyFill="1" applyBorder="1" applyAlignment="1" applyProtection="1">
      <alignment horizontal="center"/>
    </xf>
    <xf numFmtId="170" fontId="12" fillId="3" borderId="1" xfId="0" applyNumberFormat="1" applyFont="1" applyFill="1" applyBorder="1" applyProtection="1"/>
    <xf numFmtId="2" fontId="12" fillId="3" borderId="1" xfId="0" applyNumberFormat="1" applyFont="1" applyFill="1" applyBorder="1" applyProtection="1"/>
    <xf numFmtId="0" fontId="60" fillId="3" borderId="1" xfId="0" applyFont="1" applyFill="1" applyBorder="1" applyAlignment="1" applyProtection="1">
      <alignment horizontal="center"/>
    </xf>
    <xf numFmtId="0" fontId="59" fillId="3" borderId="1" xfId="0" applyFont="1" applyFill="1" applyBorder="1" applyAlignment="1" applyProtection="1">
      <alignment horizontal="left"/>
    </xf>
    <xf numFmtId="0" fontId="59" fillId="3" borderId="1" xfId="0" applyNumberFormat="1" applyFont="1" applyFill="1" applyBorder="1" applyAlignment="1" applyProtection="1">
      <alignment horizontal="center"/>
    </xf>
    <xf numFmtId="174" fontId="59" fillId="3" borderId="1" xfId="0" applyNumberFormat="1" applyFont="1" applyFill="1" applyBorder="1" applyAlignment="1" applyProtection="1">
      <alignment horizontal="center"/>
    </xf>
    <xf numFmtId="169" fontId="59" fillId="3" borderId="1" xfId="0" applyNumberFormat="1" applyFont="1" applyFill="1" applyBorder="1" applyAlignment="1" applyProtection="1">
      <alignment horizontal="center"/>
    </xf>
    <xf numFmtId="2" fontId="59" fillId="3" borderId="1" xfId="0" applyNumberFormat="1" applyFont="1" applyFill="1" applyBorder="1" applyAlignment="1" applyProtection="1">
      <alignment horizontal="center"/>
    </xf>
    <xf numFmtId="0" fontId="58" fillId="3" borderId="1" xfId="0" applyFont="1" applyFill="1" applyBorder="1" applyAlignment="1" applyProtection="1">
      <alignment horizontal="left"/>
    </xf>
    <xf numFmtId="1" fontId="59" fillId="3" borderId="1" xfId="0" applyNumberFormat="1" applyFont="1" applyFill="1" applyBorder="1" applyAlignment="1" applyProtection="1">
      <alignment horizontal="left"/>
    </xf>
    <xf numFmtId="174" fontId="11" fillId="2" borderId="1" xfId="0" applyNumberFormat="1" applyFont="1" applyFill="1" applyBorder="1" applyAlignment="1" applyProtection="1">
      <alignment horizontal="center"/>
      <protection locked="0"/>
    </xf>
    <xf numFmtId="169" fontId="11" fillId="2" borderId="1" xfId="3" applyNumberFormat="1" applyFont="1" applyFill="1" applyBorder="1" applyAlignment="1" applyProtection="1">
      <alignment horizontal="center"/>
      <protection locked="0"/>
    </xf>
    <xf numFmtId="170" fontId="11" fillId="5" borderId="1" xfId="3" applyNumberFormat="1" applyFont="1" applyFill="1" applyBorder="1" applyProtection="1"/>
    <xf numFmtId="170" fontId="6" fillId="5" borderId="1" xfId="3" applyNumberFormat="1" applyFont="1" applyFill="1" applyBorder="1" applyAlignment="1" applyProtection="1">
      <alignment horizontal="left"/>
    </xf>
    <xf numFmtId="169" fontId="73" fillId="4" borderId="1" xfId="0" applyNumberFormat="1" applyFont="1" applyFill="1" applyBorder="1" applyAlignment="1" applyProtection="1">
      <alignment horizontal="center"/>
    </xf>
    <xf numFmtId="0" fontId="69" fillId="2" borderId="0" xfId="0" applyFont="1" applyFill="1" applyBorder="1" applyAlignment="1" applyProtection="1"/>
    <xf numFmtId="0" fontId="16" fillId="2" borderId="0" xfId="0" applyFont="1" applyFill="1" applyBorder="1" applyAlignment="1" applyProtection="1"/>
    <xf numFmtId="49" fontId="37" fillId="2" borderId="0" xfId="0" applyNumberFormat="1" applyFont="1" applyFill="1" applyBorder="1" applyAlignment="1" applyProtection="1">
      <alignment horizontal="center"/>
    </xf>
    <xf numFmtId="0" fontId="6" fillId="3" borderId="1" xfId="0" applyFont="1" applyFill="1" applyBorder="1" applyAlignment="1" applyProtection="1"/>
    <xf numFmtId="0" fontId="11" fillId="3" borderId="0" xfId="0" applyFont="1" applyFill="1" applyBorder="1" applyAlignment="1" applyProtection="1"/>
    <xf numFmtId="0" fontId="48" fillId="3" borderId="0" xfId="0" applyFont="1" applyFill="1" applyBorder="1" applyProtection="1"/>
    <xf numFmtId="177" fontId="48" fillId="3" borderId="0" xfId="0" applyNumberFormat="1" applyFont="1" applyFill="1" applyBorder="1" applyProtection="1"/>
    <xf numFmtId="177" fontId="11" fillId="3" borderId="0" xfId="0" applyNumberFormat="1" applyFont="1" applyFill="1" applyProtection="1"/>
    <xf numFmtId="0" fontId="56" fillId="3" borderId="0" xfId="0" applyFont="1" applyFill="1" applyBorder="1" applyProtection="1"/>
    <xf numFmtId="166" fontId="42" fillId="3" borderId="0" xfId="0" applyNumberFormat="1" applyFont="1" applyFill="1" applyBorder="1" applyAlignment="1" applyProtection="1"/>
    <xf numFmtId="0" fontId="11" fillId="3" borderId="0" xfId="0" applyFont="1" applyFill="1" applyAlignment="1" applyProtection="1"/>
    <xf numFmtId="0" fontId="11" fillId="3" borderId="1" xfId="0" applyFont="1" applyFill="1" applyBorder="1" applyAlignment="1" applyProtection="1"/>
    <xf numFmtId="0" fontId="24" fillId="3" borderId="1" xfId="0" applyFont="1" applyFill="1" applyBorder="1" applyProtection="1"/>
    <xf numFmtId="164" fontId="11" fillId="3" borderId="1" xfId="0" applyNumberFormat="1" applyFont="1" applyFill="1" applyBorder="1" applyAlignment="1" applyProtection="1"/>
    <xf numFmtId="164" fontId="43" fillId="3" borderId="1" xfId="0" applyNumberFormat="1" applyFont="1" applyFill="1" applyBorder="1" applyAlignment="1" applyProtection="1"/>
    <xf numFmtId="0" fontId="15" fillId="3" borderId="0" xfId="0" applyFont="1" applyFill="1" applyBorder="1" applyAlignment="1" applyProtection="1">
      <alignment horizontal="left"/>
    </xf>
    <xf numFmtId="0" fontId="7" fillId="3" borderId="0" xfId="0" applyFont="1" applyFill="1" applyBorder="1" applyAlignment="1" applyProtection="1">
      <alignment horizontal="right"/>
    </xf>
    <xf numFmtId="49" fontId="6" fillId="2" borderId="0" xfId="0" applyNumberFormat="1" applyFont="1" applyFill="1" applyBorder="1" applyAlignment="1" applyProtection="1">
      <alignment horizontal="center"/>
    </xf>
    <xf numFmtId="164" fontId="6" fillId="2" borderId="7" xfId="0" applyNumberFormat="1" applyFont="1" applyFill="1" applyBorder="1" applyAlignment="1" applyProtection="1">
      <alignment horizontal="center"/>
    </xf>
    <xf numFmtId="164" fontId="11" fillId="3" borderId="1" xfId="0" applyNumberFormat="1" applyFont="1" applyFill="1" applyBorder="1" applyAlignment="1" applyProtection="1">
      <alignment horizontal="center"/>
    </xf>
    <xf numFmtId="164" fontId="12" fillId="3" borderId="1" xfId="0" applyNumberFormat="1" applyFont="1" applyFill="1" applyBorder="1" applyAlignment="1" applyProtection="1">
      <alignment horizontal="center"/>
    </xf>
    <xf numFmtId="164" fontId="13" fillId="3" borderId="1" xfId="0" applyNumberFormat="1" applyFont="1" applyFill="1" applyBorder="1" applyAlignment="1" applyProtection="1">
      <alignment horizontal="center"/>
    </xf>
    <xf numFmtId="164" fontId="7" fillId="3" borderId="1" xfId="0" applyNumberFormat="1" applyFont="1" applyFill="1" applyBorder="1" applyAlignment="1" applyProtection="1">
      <alignment horizontal="center"/>
    </xf>
    <xf numFmtId="0" fontId="15" fillId="3" borderId="0" xfId="0" applyFont="1" applyFill="1" applyBorder="1" applyAlignment="1" applyProtection="1">
      <alignment horizontal="center"/>
    </xf>
    <xf numFmtId="164" fontId="6" fillId="3" borderId="0" xfId="0" applyNumberFormat="1" applyFont="1" applyFill="1" applyBorder="1" applyProtection="1"/>
    <xf numFmtId="0" fontId="62" fillId="2" borderId="5" xfId="0" applyFont="1" applyFill="1" applyBorder="1" applyProtection="1"/>
    <xf numFmtId="0" fontId="62" fillId="2" borderId="0" xfId="0" applyFont="1" applyFill="1" applyBorder="1" applyAlignment="1" applyProtection="1">
      <alignment horizontal="center"/>
    </xf>
    <xf numFmtId="0" fontId="70" fillId="2" borderId="0" xfId="0" applyFont="1" applyFill="1" applyBorder="1" applyProtection="1"/>
    <xf numFmtId="0" fontId="62" fillId="2" borderId="6" xfId="0" applyFont="1" applyFill="1" applyBorder="1" applyProtection="1"/>
    <xf numFmtId="0" fontId="6" fillId="2" borderId="0" xfId="0" applyFont="1" applyFill="1" applyBorder="1" applyAlignment="1" applyProtection="1">
      <alignment horizontal="left" indent="4"/>
    </xf>
    <xf numFmtId="0" fontId="7" fillId="2" borderId="0" xfId="0" applyFont="1" applyFill="1" applyBorder="1" applyAlignment="1" applyProtection="1">
      <alignment horizontal="right"/>
    </xf>
    <xf numFmtId="0" fontId="15" fillId="2" borderId="0" xfId="0" applyFont="1" applyFill="1" applyBorder="1" applyAlignment="1" applyProtection="1">
      <alignment horizontal="center"/>
    </xf>
    <xf numFmtId="0" fontId="32" fillId="2" borderId="0" xfId="0" applyFont="1" applyFill="1" applyBorder="1" applyProtection="1"/>
    <xf numFmtId="164" fontId="6" fillId="2" borderId="0" xfId="0" applyNumberFormat="1" applyFont="1" applyFill="1" applyBorder="1" applyProtection="1"/>
    <xf numFmtId="164" fontId="37" fillId="2" borderId="0" xfId="0" applyNumberFormat="1" applyFont="1" applyFill="1" applyBorder="1" applyProtection="1"/>
    <xf numFmtId="0" fontId="37" fillId="2" borderId="5" xfId="0" applyFont="1" applyFill="1" applyBorder="1" applyAlignment="1" applyProtection="1">
      <alignment horizontal="center"/>
    </xf>
    <xf numFmtId="0" fontId="37" fillId="2" borderId="6" xfId="0" applyFont="1" applyFill="1" applyBorder="1" applyAlignment="1" applyProtection="1">
      <alignment horizontal="center"/>
    </xf>
    <xf numFmtId="0" fontId="15" fillId="2" borderId="5" xfId="0" applyFont="1" applyFill="1" applyBorder="1" applyAlignment="1" applyProtection="1">
      <alignment horizontal="center"/>
    </xf>
    <xf numFmtId="0" fontId="15" fillId="2" borderId="6" xfId="0" applyFont="1" applyFill="1" applyBorder="1" applyAlignment="1" applyProtection="1">
      <alignment horizontal="center"/>
    </xf>
    <xf numFmtId="0" fontId="15" fillId="3" borderId="1" xfId="0" applyFont="1" applyFill="1" applyBorder="1" applyAlignment="1" applyProtection="1">
      <alignment horizontal="left"/>
    </xf>
    <xf numFmtId="0" fontId="6" fillId="3" borderId="1" xfId="0" applyNumberFormat="1" applyFont="1" applyFill="1" applyBorder="1" applyAlignment="1" applyProtection="1">
      <alignment horizontal="center"/>
    </xf>
    <xf numFmtId="0" fontId="30" fillId="3" borderId="0" xfId="0" applyFont="1" applyFill="1" applyBorder="1" applyProtection="1"/>
    <xf numFmtId="0" fontId="31" fillId="3" borderId="0" xfId="0" applyFont="1" applyFill="1" applyBorder="1" applyProtection="1"/>
    <xf numFmtId="0" fontId="26" fillId="3" borderId="0" xfId="0" applyFont="1" applyFill="1" applyProtection="1"/>
    <xf numFmtId="0" fontId="21" fillId="3" borderId="0" xfId="0" applyFont="1" applyFill="1" applyBorder="1" applyProtection="1"/>
    <xf numFmtId="0" fontId="33" fillId="3" borderId="0" xfId="0" applyFont="1" applyFill="1" applyBorder="1" applyProtection="1"/>
    <xf numFmtId="0" fontId="23" fillId="2" borderId="5" xfId="0" applyFont="1" applyFill="1" applyBorder="1" applyProtection="1"/>
    <xf numFmtId="0" fontId="16" fillId="2" borderId="0" xfId="0" applyNumberFormat="1" applyFont="1" applyFill="1" applyBorder="1" applyProtection="1"/>
    <xf numFmtId="0" fontId="23" fillId="2" borderId="0" xfId="0" applyFont="1" applyFill="1" applyBorder="1" applyProtection="1"/>
    <xf numFmtId="49" fontId="25" fillId="2" borderId="0" xfId="0" applyNumberFormat="1" applyFont="1" applyFill="1" applyBorder="1" applyAlignment="1" applyProtection="1">
      <alignment horizontal="center"/>
    </xf>
    <xf numFmtId="0" fontId="40" fillId="3" borderId="1" xfId="0" applyFont="1" applyFill="1" applyBorder="1" applyAlignment="1" applyProtection="1">
      <alignment horizontal="left"/>
    </xf>
    <xf numFmtId="0" fontId="7" fillId="3" borderId="1" xfId="0" applyFont="1" applyFill="1" applyBorder="1" applyAlignment="1" applyProtection="1">
      <alignment horizontal="left"/>
    </xf>
    <xf numFmtId="0" fontId="58" fillId="2" borderId="6" xfId="0" applyFont="1" applyFill="1" applyBorder="1" applyProtection="1"/>
    <xf numFmtId="0" fontId="13" fillId="2" borderId="0" xfId="0" applyFont="1" applyFill="1" applyBorder="1" applyAlignment="1" applyProtection="1">
      <alignment horizontal="right"/>
    </xf>
    <xf numFmtId="165" fontId="15" fillId="2" borderId="0" xfId="3" applyNumberFormat="1" applyFont="1" applyFill="1" applyBorder="1" applyProtection="1"/>
    <xf numFmtId="165" fontId="15" fillId="2" borderId="6" xfId="3" applyNumberFormat="1" applyFont="1" applyFill="1" applyBorder="1" applyProtection="1"/>
    <xf numFmtId="16" fontId="13" fillId="2" borderId="0" xfId="0" applyNumberFormat="1" applyFont="1" applyFill="1" applyBorder="1" applyAlignment="1" applyProtection="1">
      <alignment horizontal="center"/>
    </xf>
    <xf numFmtId="0" fontId="22" fillId="2" borderId="0" xfId="0" applyFont="1" applyFill="1" applyBorder="1" applyAlignment="1" applyProtection="1">
      <alignment horizontal="right"/>
    </xf>
    <xf numFmtId="165" fontId="21" fillId="2" borderId="0" xfId="3" applyNumberFormat="1" applyFont="1" applyFill="1" applyBorder="1" applyProtection="1"/>
    <xf numFmtId="165" fontId="21" fillId="2" borderId="6" xfId="3" applyNumberFormat="1" applyFont="1" applyFill="1" applyBorder="1" applyProtection="1"/>
    <xf numFmtId="164" fontId="6" fillId="2" borderId="0" xfId="0" applyNumberFormat="1" applyFont="1" applyFill="1" applyBorder="1" applyAlignment="1" applyProtection="1">
      <alignment horizontal="left"/>
    </xf>
    <xf numFmtId="164" fontId="7" fillId="2" borderId="0" xfId="0" applyNumberFormat="1" applyFont="1" applyFill="1" applyBorder="1" applyAlignment="1" applyProtection="1">
      <alignment horizontal="left"/>
    </xf>
    <xf numFmtId="0" fontId="13" fillId="3" borderId="1" xfId="0" applyFont="1" applyFill="1" applyBorder="1" applyAlignment="1" applyProtection="1">
      <alignment horizontal="right"/>
    </xf>
    <xf numFmtId="165" fontId="15" fillId="3" borderId="1" xfId="3" applyNumberFormat="1" applyFont="1" applyFill="1" applyBorder="1" applyProtection="1"/>
    <xf numFmtId="164" fontId="6" fillId="3" borderId="1" xfId="0" applyNumberFormat="1" applyFont="1" applyFill="1" applyBorder="1" applyAlignment="1" applyProtection="1">
      <alignment horizontal="left"/>
    </xf>
    <xf numFmtId="164" fontId="7" fillId="3" borderId="1" xfId="0" applyNumberFormat="1" applyFont="1" applyFill="1" applyBorder="1" applyAlignment="1" applyProtection="1">
      <alignment horizontal="left"/>
    </xf>
    <xf numFmtId="0" fontId="6" fillId="3" borderId="1" xfId="0" applyNumberFormat="1" applyFont="1" applyFill="1" applyBorder="1" applyProtection="1"/>
    <xf numFmtId="0" fontId="15" fillId="3" borderId="1" xfId="0" applyFont="1" applyFill="1" applyBorder="1" applyAlignment="1" applyProtection="1">
      <alignment horizontal="right"/>
    </xf>
    <xf numFmtId="164" fontId="15" fillId="3" borderId="1" xfId="0" applyNumberFormat="1" applyFont="1" applyFill="1" applyBorder="1" applyAlignment="1" applyProtection="1">
      <alignment horizontal="left"/>
    </xf>
    <xf numFmtId="164" fontId="58" fillId="3" borderId="0" xfId="0" applyNumberFormat="1" applyFont="1" applyFill="1" applyBorder="1" applyProtection="1"/>
    <xf numFmtId="164" fontId="25" fillId="3" borderId="0" xfId="0" applyNumberFormat="1" applyFont="1" applyFill="1" applyBorder="1" applyProtection="1"/>
    <xf numFmtId="164" fontId="6" fillId="3" borderId="0" xfId="0" applyNumberFormat="1" applyFont="1" applyFill="1" applyBorder="1" applyAlignment="1" applyProtection="1">
      <alignment horizontal="center"/>
    </xf>
    <xf numFmtId="0" fontId="34" fillId="3" borderId="0" xfId="0" applyFont="1" applyFill="1" applyBorder="1" applyAlignment="1" applyProtection="1">
      <alignment horizontal="center"/>
    </xf>
    <xf numFmtId="164" fontId="16" fillId="3" borderId="0" xfId="0" applyNumberFormat="1" applyFont="1" applyFill="1" applyBorder="1" applyProtection="1"/>
    <xf numFmtId="164" fontId="7" fillId="3" borderId="0" xfId="0" applyNumberFormat="1" applyFont="1" applyFill="1" applyBorder="1" applyProtection="1"/>
    <xf numFmtId="0" fontId="70" fillId="2" borderId="5" xfId="0" applyFont="1" applyFill="1" applyBorder="1" applyProtection="1"/>
    <xf numFmtId="0" fontId="61" fillId="2" borderId="0" xfId="0" applyFont="1" applyFill="1" applyBorder="1" applyAlignment="1" applyProtection="1">
      <alignment horizontal="center"/>
    </xf>
    <xf numFmtId="0" fontId="32" fillId="2" borderId="5" xfId="0" applyFont="1" applyFill="1" applyBorder="1" applyProtection="1"/>
    <xf numFmtId="0" fontId="13" fillId="2" borderId="0" xfId="0" applyFont="1" applyFill="1" applyBorder="1" applyProtection="1"/>
    <xf numFmtId="49" fontId="15" fillId="2" borderId="0" xfId="0" applyNumberFormat="1" applyFont="1" applyFill="1" applyBorder="1" applyAlignment="1" applyProtection="1">
      <alignment horizontal="center"/>
    </xf>
    <xf numFmtId="0" fontId="8" fillId="2" borderId="5" xfId="0" applyFont="1" applyFill="1" applyBorder="1" applyProtection="1"/>
    <xf numFmtId="0" fontId="8" fillId="2" borderId="0" xfId="0" applyFont="1" applyFill="1" applyBorder="1" applyProtection="1"/>
    <xf numFmtId="0" fontId="21" fillId="2" borderId="0" xfId="0" applyFont="1" applyFill="1" applyBorder="1" applyProtection="1"/>
    <xf numFmtId="0" fontId="22" fillId="2" borderId="0" xfId="0" applyFont="1" applyFill="1" applyBorder="1" applyAlignment="1" applyProtection="1">
      <alignment horizontal="center"/>
    </xf>
    <xf numFmtId="0" fontId="6" fillId="2" borderId="0" xfId="0" applyFont="1" applyFill="1" applyBorder="1" applyAlignment="1" applyProtection="1">
      <alignment horizontal="right"/>
    </xf>
    <xf numFmtId="164" fontId="7" fillId="2" borderId="0" xfId="0" applyNumberFormat="1" applyFont="1" applyFill="1" applyBorder="1" applyAlignment="1" applyProtection="1">
      <alignment horizontal="center"/>
    </xf>
    <xf numFmtId="0" fontId="6" fillId="2" borderId="6" xfId="0" applyFont="1" applyFill="1" applyBorder="1" applyAlignment="1" applyProtection="1">
      <alignment horizontal="right"/>
    </xf>
    <xf numFmtId="9" fontId="6" fillId="2" borderId="6" xfId="2" applyFont="1" applyFill="1" applyBorder="1" applyAlignment="1" applyProtection="1">
      <alignment horizontal="right"/>
    </xf>
    <xf numFmtId="0" fontId="25" fillId="2" borderId="6" xfId="0" applyFont="1" applyFill="1" applyBorder="1" applyAlignment="1" applyProtection="1">
      <alignment horizontal="right"/>
    </xf>
    <xf numFmtId="0" fontId="7" fillId="2" borderId="7" xfId="0" applyFont="1" applyFill="1" applyBorder="1" applyProtection="1"/>
    <xf numFmtId="172" fontId="7" fillId="2" borderId="7" xfId="0" applyNumberFormat="1" applyFont="1" applyFill="1" applyBorder="1" applyAlignment="1" applyProtection="1">
      <alignment horizontal="center"/>
    </xf>
    <xf numFmtId="0" fontId="6" fillId="3" borderId="1" xfId="0" applyFont="1" applyFill="1" applyBorder="1" applyAlignment="1" applyProtection="1">
      <alignment horizontal="right"/>
    </xf>
    <xf numFmtId="0" fontId="25" fillId="3" borderId="1" xfId="0" applyFont="1" applyFill="1" applyBorder="1" applyAlignment="1" applyProtection="1">
      <alignment horizontal="center"/>
    </xf>
    <xf numFmtId="0" fontId="1" fillId="3" borderId="0" xfId="0" applyFont="1" applyFill="1" applyBorder="1" applyProtection="1"/>
    <xf numFmtId="0" fontId="1" fillId="3" borderId="0" xfId="0" applyFont="1" applyFill="1" applyBorder="1" applyAlignment="1" applyProtection="1">
      <alignment horizontal="center"/>
    </xf>
    <xf numFmtId="164" fontId="1" fillId="3" borderId="0" xfId="0" applyNumberFormat="1" applyFont="1" applyFill="1" applyBorder="1" applyProtection="1"/>
    <xf numFmtId="0" fontId="27" fillId="2" borderId="5" xfId="0" applyFont="1" applyFill="1" applyBorder="1" applyProtection="1"/>
    <xf numFmtId="0" fontId="25" fillId="2" borderId="0" xfId="0" applyFont="1" applyFill="1" applyBorder="1" applyAlignment="1" applyProtection="1">
      <alignment horizontal="center"/>
    </xf>
    <xf numFmtId="164" fontId="74" fillId="3" borderId="0" xfId="0" applyNumberFormat="1" applyFont="1" applyFill="1" applyBorder="1" applyProtection="1"/>
    <xf numFmtId="0" fontId="74" fillId="3" borderId="0" xfId="0" applyFont="1" applyFill="1" applyBorder="1" applyProtection="1"/>
    <xf numFmtId="164" fontId="75" fillId="3" borderId="0" xfId="0" applyNumberFormat="1" applyFont="1" applyFill="1" applyBorder="1" applyProtection="1"/>
    <xf numFmtId="0" fontId="75" fillId="3" borderId="0" xfId="0" applyFont="1" applyFill="1" applyBorder="1" applyProtection="1"/>
    <xf numFmtId="0" fontId="22" fillId="2" borderId="0" xfId="0" applyFont="1" applyFill="1" applyBorder="1" applyProtection="1"/>
    <xf numFmtId="0" fontId="6" fillId="3" borderId="8" xfId="0" applyFont="1" applyFill="1" applyBorder="1" applyProtection="1"/>
    <xf numFmtId="0" fontId="6" fillId="3" borderId="9" xfId="0" applyFont="1" applyFill="1" applyBorder="1" applyProtection="1"/>
    <xf numFmtId="0" fontId="7" fillId="3" borderId="11" xfId="0" applyFont="1" applyFill="1" applyBorder="1" applyProtection="1"/>
    <xf numFmtId="164" fontId="7" fillId="5" borderId="1" xfId="0" applyNumberFormat="1" applyFont="1" applyFill="1" applyBorder="1" applyAlignment="1" applyProtection="1">
      <alignment horizontal="center"/>
    </xf>
    <xf numFmtId="0" fontId="7" fillId="3" borderId="12" xfId="0" applyFont="1" applyFill="1" applyBorder="1" applyAlignment="1" applyProtection="1">
      <alignment horizontal="center"/>
    </xf>
    <xf numFmtId="164" fontId="76" fillId="3" borderId="0" xfId="0" applyNumberFormat="1" applyFont="1" applyFill="1" applyBorder="1" applyProtection="1"/>
    <xf numFmtId="0" fontId="76" fillId="3" borderId="0" xfId="0" applyFont="1" applyFill="1" applyBorder="1" applyProtection="1"/>
    <xf numFmtId="0" fontId="58" fillId="3" borderId="14" xfId="0" applyFont="1" applyFill="1" applyBorder="1" applyProtection="1"/>
    <xf numFmtId="0" fontId="6" fillId="3" borderId="15" xfId="0" applyFont="1" applyFill="1" applyBorder="1" applyAlignment="1" applyProtection="1">
      <alignment horizontal="center"/>
    </xf>
    <xf numFmtId="0" fontId="6" fillId="3" borderId="11" xfId="0" applyFont="1" applyFill="1" applyBorder="1" applyProtection="1"/>
    <xf numFmtId="164" fontId="6" fillId="5" borderId="1" xfId="0" applyNumberFormat="1" applyFont="1" applyFill="1" applyBorder="1" applyAlignment="1" applyProtection="1">
      <alignment horizontal="left"/>
    </xf>
    <xf numFmtId="0" fontId="77" fillId="3" borderId="1" xfId="0" applyFont="1" applyFill="1" applyBorder="1" applyProtection="1"/>
    <xf numFmtId="164" fontId="78" fillId="4" borderId="1" xfId="0" applyNumberFormat="1" applyFont="1" applyFill="1" applyBorder="1" applyAlignment="1" applyProtection="1">
      <alignment horizontal="center"/>
    </xf>
    <xf numFmtId="0" fontId="6" fillId="3" borderId="1" xfId="0" quotePrefix="1" applyFont="1" applyFill="1" applyBorder="1" applyProtection="1"/>
    <xf numFmtId="164" fontId="73" fillId="4" borderId="1" xfId="0" applyNumberFormat="1" applyFont="1" applyFill="1" applyBorder="1" applyAlignment="1" applyProtection="1">
      <alignment horizontal="center"/>
    </xf>
    <xf numFmtId="164" fontId="63" fillId="4" borderId="1" xfId="0" applyNumberFormat="1" applyFont="1" applyFill="1" applyBorder="1" applyAlignment="1" applyProtection="1">
      <alignment horizontal="center"/>
    </xf>
    <xf numFmtId="0" fontId="68" fillId="3" borderId="1" xfId="0" applyFont="1" applyFill="1" applyBorder="1" applyAlignment="1" applyProtection="1">
      <alignment horizontal="left"/>
    </xf>
    <xf numFmtId="0" fontId="66" fillId="3" borderId="1" xfId="0" applyFont="1" applyFill="1" applyBorder="1" applyAlignment="1" applyProtection="1">
      <alignment horizontal="center"/>
    </xf>
    <xf numFmtId="164" fontId="68" fillId="3" borderId="1" xfId="0" applyNumberFormat="1" applyFont="1" applyFill="1" applyBorder="1" applyAlignment="1" applyProtection="1">
      <alignment horizontal="center"/>
    </xf>
    <xf numFmtId="0" fontId="68" fillId="3" borderId="1" xfId="0" applyFont="1" applyFill="1" applyBorder="1" applyProtection="1"/>
    <xf numFmtId="0" fontId="65" fillId="3" borderId="1" xfId="0" applyFont="1" applyFill="1" applyBorder="1" applyAlignment="1" applyProtection="1">
      <alignment horizontal="center"/>
    </xf>
    <xf numFmtId="178" fontId="68" fillId="3" borderId="1" xfId="0" applyNumberFormat="1" applyFont="1" applyFill="1" applyBorder="1" applyAlignment="1" applyProtection="1">
      <alignment horizontal="center"/>
    </xf>
    <xf numFmtId="164" fontId="6" fillId="3" borderId="14" xfId="0" applyNumberFormat="1" applyFont="1" applyFill="1" applyBorder="1" applyAlignment="1" applyProtection="1">
      <alignment horizontal="center"/>
    </xf>
    <xf numFmtId="164" fontId="6" fillId="2" borderId="0" xfId="0" applyNumberFormat="1" applyFont="1" applyFill="1" applyBorder="1" applyAlignment="1" applyProtection="1">
      <alignment horizontal="center"/>
    </xf>
    <xf numFmtId="0" fontId="11" fillId="2" borderId="1" xfId="0" applyFont="1" applyFill="1" applyBorder="1" applyProtection="1">
      <protection locked="0"/>
    </xf>
    <xf numFmtId="0" fontId="6" fillId="2" borderId="1" xfId="0" applyFont="1" applyFill="1" applyBorder="1" applyProtection="1">
      <protection locked="0"/>
    </xf>
    <xf numFmtId="0" fontId="6" fillId="5" borderId="1" xfId="0" applyFont="1" applyFill="1" applyBorder="1" applyAlignment="1" applyProtection="1">
      <alignment horizontal="center"/>
    </xf>
    <xf numFmtId="164" fontId="11" fillId="2" borderId="1" xfId="0" applyNumberFormat="1" applyFont="1" applyFill="1" applyBorder="1" applyAlignment="1" applyProtection="1">
      <alignment horizontal="center"/>
      <protection locked="0"/>
    </xf>
    <xf numFmtId="0" fontId="7" fillId="3" borderId="9" xfId="0" applyFont="1" applyFill="1" applyBorder="1" applyProtection="1"/>
    <xf numFmtId="0" fontId="12" fillId="3" borderId="18" xfId="0" applyFont="1" applyFill="1" applyBorder="1" applyProtection="1"/>
    <xf numFmtId="0" fontId="11" fillId="3" borderId="18" xfId="0" applyFont="1" applyFill="1" applyBorder="1" applyProtection="1"/>
    <xf numFmtId="0" fontId="11" fillId="3" borderId="18" xfId="0" applyFont="1" applyFill="1" applyBorder="1" applyAlignment="1" applyProtection="1">
      <alignment horizontal="center"/>
    </xf>
    <xf numFmtId="164" fontId="11" fillId="2" borderId="1" xfId="0" applyNumberFormat="1" applyFont="1" applyFill="1" applyBorder="1" applyProtection="1">
      <protection locked="0"/>
    </xf>
    <xf numFmtId="164" fontId="6" fillId="2" borderId="1" xfId="0" applyNumberFormat="1" applyFont="1" applyFill="1" applyBorder="1" applyProtection="1">
      <protection locked="0"/>
    </xf>
    <xf numFmtId="164" fontId="43" fillId="4" borderId="1" xfId="0" applyNumberFormat="1" applyFont="1" applyFill="1" applyBorder="1" applyAlignment="1" applyProtection="1">
      <alignment horizontal="center"/>
    </xf>
    <xf numFmtId="164" fontId="34" fillId="4" borderId="1" xfId="0" applyNumberFormat="1" applyFont="1" applyFill="1" applyBorder="1" applyAlignment="1" applyProtection="1">
      <alignment horizontal="center"/>
    </xf>
    <xf numFmtId="164" fontId="41" fillId="4" borderId="1" xfId="0" applyNumberFormat="1" applyFont="1" applyFill="1" applyBorder="1" applyAlignment="1" applyProtection="1">
      <alignment horizontal="center"/>
    </xf>
    <xf numFmtId="164" fontId="42" fillId="4" borderId="1" xfId="0" applyNumberFormat="1" applyFont="1" applyFill="1" applyBorder="1" applyProtection="1"/>
    <xf numFmtId="164" fontId="6" fillId="5" borderId="1" xfId="0" applyNumberFormat="1" applyFont="1" applyFill="1" applyBorder="1" applyProtection="1"/>
    <xf numFmtId="0" fontId="8" fillId="0" borderId="0" xfId="0" applyFont="1"/>
    <xf numFmtId="164" fontId="6" fillId="5" borderId="1" xfId="0" applyNumberFormat="1" applyFont="1" applyFill="1" applyBorder="1" applyAlignment="1" applyProtection="1"/>
    <xf numFmtId="164" fontId="42" fillId="4" borderId="1" xfId="0" applyNumberFormat="1" applyFont="1" applyFill="1" applyBorder="1" applyAlignment="1" applyProtection="1"/>
    <xf numFmtId="164" fontId="11" fillId="5" borderId="1" xfId="0" applyNumberFormat="1" applyFont="1" applyFill="1" applyBorder="1" applyAlignment="1" applyProtection="1"/>
    <xf numFmtId="166" fontId="42" fillId="4" borderId="1" xfId="0" applyNumberFormat="1" applyFont="1" applyFill="1" applyBorder="1" applyAlignment="1" applyProtection="1"/>
    <xf numFmtId="167" fontId="34" fillId="4" borderId="1" xfId="0" applyNumberFormat="1" applyFont="1" applyFill="1" applyBorder="1" applyAlignment="1" applyProtection="1"/>
    <xf numFmtId="167" fontId="42" fillId="4" borderId="1" xfId="0" applyNumberFormat="1" applyFont="1" applyFill="1" applyBorder="1" applyAlignment="1" applyProtection="1"/>
    <xf numFmtId="164" fontId="43" fillId="4" borderId="1" xfId="0" applyNumberFormat="1" applyFont="1" applyFill="1" applyBorder="1" applyAlignment="1" applyProtection="1"/>
    <xf numFmtId="49" fontId="6" fillId="2" borderId="1" xfId="0" applyNumberFormat="1" applyFont="1" applyFill="1" applyBorder="1" applyAlignment="1" applyProtection="1">
      <alignment horizontal="center"/>
      <protection locked="0"/>
    </xf>
    <xf numFmtId="49" fontId="68" fillId="3" borderId="0" xfId="0" applyNumberFormat="1" applyFont="1" applyFill="1" applyBorder="1" applyAlignment="1" applyProtection="1">
      <alignment horizontal="center"/>
    </xf>
    <xf numFmtId="0" fontId="6" fillId="5" borderId="1" xfId="0" applyNumberFormat="1" applyFont="1" applyFill="1" applyBorder="1" applyAlignment="1" applyProtection="1">
      <alignment horizontal="center"/>
    </xf>
    <xf numFmtId="164" fontId="42" fillId="4" borderId="1" xfId="0" applyNumberFormat="1" applyFont="1" applyFill="1" applyBorder="1" applyAlignment="1" applyProtection="1">
      <alignment horizontal="center"/>
    </xf>
    <xf numFmtId="0" fontId="42" fillId="4" borderId="1" xfId="0" applyNumberFormat="1" applyFont="1" applyFill="1" applyBorder="1" applyAlignment="1" applyProtection="1">
      <alignment horizontal="center"/>
    </xf>
    <xf numFmtId="164" fontId="34" fillId="4" borderId="1" xfId="0" applyNumberFormat="1" applyFont="1" applyFill="1" applyBorder="1" applyProtection="1"/>
    <xf numFmtId="164" fontId="6" fillId="5" borderId="1" xfId="3" applyNumberFormat="1" applyFont="1" applyFill="1" applyBorder="1" applyAlignment="1" applyProtection="1">
      <alignment horizontal="left"/>
    </xf>
    <xf numFmtId="164" fontId="6" fillId="2" borderId="1" xfId="0" applyNumberFormat="1" applyFont="1" applyFill="1" applyBorder="1" applyAlignment="1" applyProtection="1">
      <alignment horizontal="left"/>
      <protection locked="0"/>
    </xf>
    <xf numFmtId="164" fontId="34" fillId="4" borderId="1" xfId="0" applyNumberFormat="1" applyFont="1" applyFill="1" applyBorder="1" applyAlignment="1" applyProtection="1">
      <alignment horizontal="left"/>
    </xf>
    <xf numFmtId="164" fontId="44" fillId="4" borderId="1" xfId="0" applyNumberFormat="1" applyFont="1" applyFill="1" applyBorder="1" applyAlignment="1" applyProtection="1">
      <alignment horizontal="center"/>
    </xf>
    <xf numFmtId="173" fontId="80" fillId="5" borderId="1" xfId="2" applyNumberFormat="1" applyFont="1" applyFill="1" applyBorder="1" applyAlignment="1" applyProtection="1">
      <alignment horizontal="center"/>
    </xf>
    <xf numFmtId="2" fontId="80" fillId="5" borderId="1" xfId="0" applyNumberFormat="1" applyFont="1" applyFill="1" applyBorder="1" applyAlignment="1" applyProtection="1">
      <alignment horizontal="center"/>
    </xf>
    <xf numFmtId="9" fontId="80" fillId="5" borderId="1" xfId="2" applyFont="1" applyFill="1" applyBorder="1" applyAlignment="1" applyProtection="1">
      <alignment horizontal="center"/>
    </xf>
    <xf numFmtId="0" fontId="12" fillId="2" borderId="1" xfId="0" applyFont="1" applyFill="1" applyBorder="1" applyProtection="1">
      <protection locked="0"/>
    </xf>
    <xf numFmtId="0" fontId="11" fillId="3" borderId="9" xfId="0" applyFont="1" applyFill="1" applyBorder="1" applyAlignment="1" applyProtection="1"/>
    <xf numFmtId="0" fontId="48" fillId="2" borderId="0" xfId="0" applyFont="1" applyFill="1" applyBorder="1" applyAlignment="1" applyProtection="1"/>
    <xf numFmtId="164" fontId="43" fillId="3" borderId="9" xfId="0" applyNumberFormat="1" applyFont="1" applyFill="1" applyBorder="1" applyAlignment="1" applyProtection="1"/>
    <xf numFmtId="0" fontId="12" fillId="2" borderId="7" xfId="0" applyFont="1" applyFill="1" applyBorder="1" applyProtection="1"/>
    <xf numFmtId="0" fontId="6" fillId="3" borderId="19" xfId="0" applyFont="1" applyFill="1" applyBorder="1" applyAlignment="1" applyProtection="1">
      <alignment horizontal="center"/>
    </xf>
    <xf numFmtId="0" fontId="11" fillId="3" borderId="20" xfId="0" applyFont="1" applyFill="1" applyBorder="1" applyProtection="1"/>
    <xf numFmtId="0" fontId="11" fillId="3" borderId="20" xfId="0" applyFont="1" applyFill="1" applyBorder="1" applyAlignment="1" applyProtection="1">
      <alignment horizontal="center"/>
    </xf>
    <xf numFmtId="164" fontId="11" fillId="0" borderId="1" xfId="0" applyNumberFormat="1" applyFont="1" applyFill="1" applyBorder="1" applyAlignment="1" applyProtection="1">
      <alignment horizontal="center"/>
      <protection locked="0"/>
    </xf>
    <xf numFmtId="166" fontId="6" fillId="3" borderId="1" xfId="0" applyNumberFormat="1" applyFont="1" applyFill="1" applyBorder="1" applyProtection="1"/>
    <xf numFmtId="0" fontId="11" fillId="0" borderId="1" xfId="0" applyFont="1" applyFill="1" applyBorder="1" applyProtection="1">
      <protection locked="0"/>
    </xf>
    <xf numFmtId="0" fontId="6" fillId="0" borderId="0" xfId="0" quotePrefix="1" applyFont="1"/>
    <xf numFmtId="0" fontId="40" fillId="0" borderId="0" xfId="0" applyFont="1"/>
    <xf numFmtId="0" fontId="15" fillId="2" borderId="0" xfId="0" applyFont="1" applyFill="1" applyBorder="1" applyAlignment="1" applyProtection="1">
      <alignment horizontal="right"/>
    </xf>
    <xf numFmtId="0" fontId="83" fillId="2" borderId="0" xfId="0" applyFont="1" applyFill="1" applyBorder="1" applyAlignment="1" applyProtection="1">
      <alignment horizontal="right"/>
    </xf>
    <xf numFmtId="49" fontId="83" fillId="2" borderId="0" xfId="0" applyNumberFormat="1" applyFont="1" applyFill="1" applyBorder="1" applyAlignment="1" applyProtection="1">
      <alignment horizontal="center"/>
    </xf>
    <xf numFmtId="1" fontId="83" fillId="2" borderId="0" xfId="0" applyNumberFormat="1" applyFont="1" applyFill="1" applyBorder="1" applyAlignment="1" applyProtection="1">
      <alignment horizontal="center"/>
    </xf>
    <xf numFmtId="0" fontId="6" fillId="0" borderId="1" xfId="0" applyFont="1" applyFill="1" applyBorder="1" applyProtection="1">
      <protection locked="0"/>
    </xf>
    <xf numFmtId="166" fontId="6" fillId="2" borderId="1" xfId="0" applyNumberFormat="1" applyFont="1" applyFill="1" applyBorder="1" applyAlignment="1" applyProtection="1">
      <alignment horizontal="center"/>
      <protection locked="0"/>
    </xf>
    <xf numFmtId="0" fontId="7" fillId="2" borderId="1" xfId="0" applyFont="1" applyFill="1" applyBorder="1" applyProtection="1">
      <protection locked="0"/>
    </xf>
    <xf numFmtId="0" fontId="84" fillId="4" borderId="1" xfId="0" applyFont="1" applyFill="1" applyBorder="1" applyAlignment="1" applyProtection="1">
      <alignment horizontal="center"/>
    </xf>
    <xf numFmtId="3" fontId="84" fillId="4" borderId="1" xfId="0" applyNumberFormat="1" applyFont="1" applyFill="1" applyBorder="1" applyAlignment="1" applyProtection="1">
      <alignment horizontal="center"/>
    </xf>
    <xf numFmtId="0" fontId="6" fillId="5" borderId="1" xfId="0" applyFont="1" applyFill="1" applyBorder="1" applyProtection="1"/>
    <xf numFmtId="0" fontId="82" fillId="3" borderId="1" xfId="0" applyFont="1" applyFill="1" applyBorder="1" applyProtection="1"/>
    <xf numFmtId="0" fontId="86" fillId="3" borderId="1" xfId="0" applyFont="1" applyFill="1" applyBorder="1" applyAlignment="1" applyProtection="1">
      <alignment horizontal="center"/>
    </xf>
    <xf numFmtId="0" fontId="86" fillId="2" borderId="0" xfId="0" applyFont="1" applyFill="1" applyBorder="1" applyAlignment="1" applyProtection="1">
      <alignment horizontal="right"/>
    </xf>
    <xf numFmtId="0" fontId="85" fillId="2" borderId="0" xfId="0" applyFont="1" applyFill="1" applyBorder="1" applyProtection="1"/>
    <xf numFmtId="166" fontId="6" fillId="5" borderId="1" xfId="0" applyNumberFormat="1" applyFont="1" applyFill="1" applyBorder="1" applyAlignment="1" applyProtection="1"/>
    <xf numFmtId="0" fontId="11" fillId="3" borderId="18" xfId="0" applyFont="1" applyFill="1" applyBorder="1" applyAlignment="1" applyProtection="1"/>
    <xf numFmtId="0" fontId="85" fillId="3" borderId="1" xfId="0" applyFont="1" applyFill="1" applyBorder="1" applyProtection="1"/>
    <xf numFmtId="0" fontId="83" fillId="2" borderId="0" xfId="0" applyNumberFormat="1" applyFont="1" applyFill="1" applyBorder="1" applyAlignment="1" applyProtection="1">
      <alignment horizontal="center"/>
    </xf>
    <xf numFmtId="0" fontId="85" fillId="2" borderId="0" xfId="0" applyFont="1" applyFill="1" applyBorder="1" applyAlignment="1" applyProtection="1"/>
    <xf numFmtId="0" fontId="83" fillId="2" borderId="0" xfId="0" applyFont="1" applyFill="1" applyBorder="1" applyAlignment="1" applyProtection="1">
      <alignment horizontal="center"/>
    </xf>
    <xf numFmtId="0" fontId="83" fillId="3" borderId="1" xfId="0" applyFont="1" applyFill="1" applyBorder="1" applyAlignment="1" applyProtection="1">
      <alignment horizontal="center"/>
    </xf>
    <xf numFmtId="0" fontId="82" fillId="3" borderId="1" xfId="0" applyFont="1" applyFill="1" applyBorder="1" applyAlignment="1" applyProtection="1">
      <alignment horizontal="left"/>
    </xf>
    <xf numFmtId="0" fontId="86" fillId="2" borderId="0" xfId="0" applyFont="1" applyFill="1" applyBorder="1" applyAlignment="1" applyProtection="1">
      <alignment horizontal="center"/>
    </xf>
    <xf numFmtId="0" fontId="87" fillId="2" borderId="0" xfId="0" applyFont="1" applyFill="1" applyBorder="1" applyProtection="1"/>
    <xf numFmtId="0" fontId="7" fillId="3" borderId="14" xfId="0" applyFont="1" applyFill="1" applyBorder="1" applyProtection="1"/>
    <xf numFmtId="164" fontId="43" fillId="3" borderId="18" xfId="0" applyNumberFormat="1" applyFont="1" applyFill="1" applyBorder="1" applyAlignment="1" applyProtection="1"/>
    <xf numFmtId="0" fontId="82" fillId="3" borderId="9" xfId="0" applyFont="1" applyFill="1" applyBorder="1" applyProtection="1"/>
    <xf numFmtId="0" fontId="85" fillId="3" borderId="9" xfId="0" applyFont="1" applyFill="1" applyBorder="1" applyProtection="1"/>
    <xf numFmtId="0" fontId="85" fillId="3" borderId="9" xfId="0" applyFont="1" applyFill="1" applyBorder="1" applyAlignment="1" applyProtection="1"/>
    <xf numFmtId="0" fontId="85" fillId="3" borderId="0" xfId="0" applyFont="1" applyFill="1" applyBorder="1" applyProtection="1"/>
    <xf numFmtId="0" fontId="38" fillId="2" borderId="0" xfId="0" applyFont="1" applyFill="1" applyBorder="1" applyAlignment="1" applyProtection="1">
      <alignment horizontal="right"/>
    </xf>
    <xf numFmtId="0" fontId="85" fillId="2" borderId="0" xfId="0" applyFont="1" applyFill="1" applyBorder="1" applyAlignment="1" applyProtection="1">
      <alignment horizontal="center"/>
    </xf>
    <xf numFmtId="0" fontId="37" fillId="2" borderId="0" xfId="0" applyFont="1" applyFill="1" applyBorder="1" applyAlignment="1" applyProtection="1">
      <alignment horizontal="right"/>
    </xf>
    <xf numFmtId="1" fontId="39" fillId="2" borderId="0" xfId="0" applyNumberFormat="1" applyFont="1" applyFill="1" applyBorder="1" applyAlignment="1" applyProtection="1">
      <alignment horizontal="center"/>
    </xf>
    <xf numFmtId="0" fontId="86" fillId="2" borderId="0" xfId="0" applyFont="1" applyFill="1" applyBorder="1" applyAlignment="1" applyProtection="1">
      <alignment horizontal="left"/>
    </xf>
    <xf numFmtId="0" fontId="86" fillId="2" borderId="0" xfId="0" applyNumberFormat="1" applyFont="1" applyFill="1" applyBorder="1" applyAlignment="1" applyProtection="1">
      <alignment horizontal="center"/>
    </xf>
    <xf numFmtId="1" fontId="86" fillId="2" borderId="0" xfId="0" quotePrefix="1" applyNumberFormat="1" applyFont="1" applyFill="1" applyBorder="1" applyAlignment="1" applyProtection="1">
      <alignment horizontal="center"/>
    </xf>
    <xf numFmtId="1" fontId="86" fillId="2" borderId="0" xfId="0" applyNumberFormat="1" applyFont="1" applyFill="1" applyBorder="1" applyAlignment="1" applyProtection="1">
      <alignment horizontal="center"/>
    </xf>
    <xf numFmtId="0" fontId="85" fillId="3" borderId="1" xfId="0" applyFont="1" applyFill="1" applyBorder="1" applyAlignment="1" applyProtection="1">
      <alignment horizontal="left"/>
    </xf>
    <xf numFmtId="0" fontId="87" fillId="2" borderId="0" xfId="0" applyFont="1" applyFill="1" applyBorder="1" applyAlignment="1" applyProtection="1">
      <alignment horizontal="left"/>
    </xf>
    <xf numFmtId="1" fontId="86" fillId="3" borderId="1" xfId="0" applyNumberFormat="1" applyFont="1" applyFill="1" applyBorder="1" applyAlignment="1" applyProtection="1">
      <alignment horizontal="center"/>
    </xf>
    <xf numFmtId="164" fontId="86" fillId="3" borderId="1" xfId="0" applyNumberFormat="1" applyFont="1" applyFill="1" applyBorder="1" applyAlignment="1" applyProtection="1">
      <alignment horizontal="center"/>
    </xf>
    <xf numFmtId="180" fontId="86" fillId="3" borderId="1" xfId="0" applyNumberFormat="1" applyFont="1" applyFill="1" applyBorder="1" applyAlignment="1" applyProtection="1">
      <alignment horizontal="center"/>
    </xf>
    <xf numFmtId="0" fontId="6" fillId="2" borderId="1" xfId="0" applyNumberFormat="1" applyFont="1" applyFill="1" applyBorder="1" applyProtection="1">
      <protection locked="0"/>
    </xf>
    <xf numFmtId="0" fontId="6" fillId="0" borderId="0" xfId="0" applyFont="1" applyFill="1" applyBorder="1" applyProtection="1"/>
    <xf numFmtId="0" fontId="36" fillId="2" borderId="0" xfId="0" applyFont="1" applyFill="1" applyBorder="1" applyProtection="1"/>
    <xf numFmtId="0" fontId="6" fillId="8" borderId="0" xfId="0" applyFont="1" applyFill="1" applyBorder="1" applyProtection="1"/>
    <xf numFmtId="1" fontId="0" fillId="8" borderId="0" xfId="0" applyNumberFormat="1" applyFill="1" applyAlignment="1" applyProtection="1">
      <alignment horizontal="left"/>
    </xf>
    <xf numFmtId="42" fontId="41" fillId="4" borderId="1" xfId="0" applyNumberFormat="1" applyFont="1" applyFill="1" applyBorder="1" applyAlignment="1" applyProtection="1">
      <alignment horizontal="center"/>
    </xf>
    <xf numFmtId="0" fontId="7" fillId="8" borderId="0" xfId="0" applyFont="1" applyFill="1" applyBorder="1" applyAlignment="1" applyProtection="1">
      <alignment horizontal="left"/>
    </xf>
    <xf numFmtId="0" fontId="13" fillId="8" borderId="0" xfId="0" applyFont="1" applyFill="1" applyBorder="1" applyAlignment="1" applyProtection="1">
      <alignment horizontal="left"/>
    </xf>
    <xf numFmtId="0" fontId="39" fillId="8" borderId="0" xfId="0" applyFont="1" applyFill="1" applyBorder="1" applyAlignment="1" applyProtection="1">
      <alignment horizontal="center"/>
    </xf>
    <xf numFmtId="0" fontId="39" fillId="8" borderId="0" xfId="0" applyFont="1" applyFill="1" applyBorder="1" applyAlignment="1" applyProtection="1"/>
    <xf numFmtId="1" fontId="90" fillId="6" borderId="21" xfId="0" applyNumberFormat="1" applyFont="1" applyFill="1" applyBorder="1" applyAlignment="1" applyProtection="1">
      <alignment horizontal="center"/>
    </xf>
    <xf numFmtId="0" fontId="39" fillId="8" borderId="21" xfId="0" applyFont="1" applyFill="1" applyBorder="1" applyAlignment="1" applyProtection="1">
      <alignment horizontal="center"/>
    </xf>
    <xf numFmtId="42" fontId="90" fillId="6" borderId="21" xfId="0" applyNumberFormat="1" applyFont="1" applyFill="1" applyBorder="1" applyAlignment="1" applyProtection="1">
      <alignment horizontal="center"/>
    </xf>
    <xf numFmtId="0" fontId="91" fillId="2" borderId="7" xfId="1" applyFont="1" applyFill="1" applyBorder="1" applyAlignment="1" applyProtection="1">
      <alignment horizontal="right"/>
    </xf>
    <xf numFmtId="0" fontId="42" fillId="9" borderId="0" xfId="0" applyFont="1" applyFill="1" applyBorder="1" applyAlignment="1" applyProtection="1">
      <alignment horizontal="center"/>
    </xf>
    <xf numFmtId="44" fontId="43" fillId="4" borderId="1" xfId="0" applyNumberFormat="1" applyFont="1" applyFill="1" applyBorder="1" applyAlignment="1" applyProtection="1"/>
    <xf numFmtId="164" fontId="88" fillId="10" borderId="1" xfId="0" applyNumberFormat="1" applyFont="1" applyFill="1" applyBorder="1" applyAlignment="1" applyProtection="1">
      <alignment horizontal="center"/>
    </xf>
    <xf numFmtId="0" fontId="6" fillId="9" borderId="0" xfId="0" applyFont="1" applyFill="1" applyProtection="1"/>
    <xf numFmtId="0" fontId="6" fillId="9" borderId="1" xfId="0" applyFont="1" applyFill="1" applyBorder="1" applyProtection="1"/>
    <xf numFmtId="164" fontId="88" fillId="9" borderId="1" xfId="0" applyNumberFormat="1" applyFont="1" applyFill="1" applyBorder="1" applyAlignment="1" applyProtection="1">
      <alignment horizontal="center"/>
    </xf>
    <xf numFmtId="0" fontId="15" fillId="9" borderId="1" xfId="0" applyFont="1" applyFill="1" applyBorder="1" applyProtection="1"/>
    <xf numFmtId="0" fontId="6" fillId="11" borderId="0" xfId="0" applyFont="1" applyFill="1" applyBorder="1" applyAlignment="1" applyProtection="1">
      <alignment horizontal="center"/>
    </xf>
    <xf numFmtId="0" fontId="6" fillId="9" borderId="1" xfId="0" applyFont="1" applyFill="1" applyBorder="1" applyAlignment="1" applyProtection="1">
      <alignment horizontal="center"/>
    </xf>
    <xf numFmtId="164" fontId="6" fillId="9" borderId="1" xfId="0" applyNumberFormat="1" applyFont="1" applyFill="1" applyBorder="1" applyAlignment="1" applyProtection="1">
      <alignment horizontal="center"/>
    </xf>
    <xf numFmtId="0" fontId="6" fillId="3" borderId="12" xfId="0" applyFont="1" applyFill="1" applyBorder="1" applyProtection="1"/>
    <xf numFmtId="0" fontId="6" fillId="12" borderId="0" xfId="0" applyFont="1" applyFill="1" applyBorder="1" applyProtection="1"/>
    <xf numFmtId="0" fontId="6" fillId="12" borderId="0" xfId="0" applyFont="1" applyFill="1" applyBorder="1" applyAlignment="1" applyProtection="1"/>
    <xf numFmtId="182" fontId="6" fillId="12" borderId="0" xfId="0" applyNumberFormat="1" applyFont="1" applyFill="1" applyBorder="1" applyAlignment="1" applyProtection="1">
      <alignment horizontal="center"/>
    </xf>
    <xf numFmtId="182" fontId="6" fillId="12" borderId="0" xfId="0" applyNumberFormat="1" applyFont="1" applyFill="1" applyBorder="1" applyProtection="1"/>
    <xf numFmtId="0" fontId="6" fillId="11" borderId="24" xfId="0" applyFont="1" applyFill="1" applyBorder="1" applyProtection="1"/>
    <xf numFmtId="0" fontId="6" fillId="11" borderId="24" xfId="0" applyFont="1" applyFill="1" applyBorder="1" applyAlignment="1" applyProtection="1"/>
    <xf numFmtId="182" fontId="6" fillId="11" borderId="24" xfId="0" applyNumberFormat="1" applyFont="1" applyFill="1" applyBorder="1" applyAlignment="1" applyProtection="1">
      <alignment horizontal="center"/>
    </xf>
    <xf numFmtId="182" fontId="6" fillId="11" borderId="24" xfId="0" applyNumberFormat="1" applyFont="1" applyFill="1" applyBorder="1" applyProtection="1"/>
    <xf numFmtId="0" fontId="6" fillId="11" borderId="25" xfId="0" applyFont="1" applyFill="1" applyBorder="1" applyProtection="1"/>
    <xf numFmtId="0" fontId="6" fillId="11" borderId="5" xfId="0" applyFont="1" applyFill="1" applyBorder="1" applyProtection="1"/>
    <xf numFmtId="0" fontId="6" fillId="11" borderId="0" xfId="0" applyFont="1" applyFill="1" applyBorder="1" applyProtection="1"/>
    <xf numFmtId="0" fontId="6" fillId="11" borderId="0" xfId="0" applyFont="1" applyFill="1" applyBorder="1" applyAlignment="1" applyProtection="1"/>
    <xf numFmtId="182" fontId="6" fillId="11" borderId="0" xfId="0" applyNumberFormat="1" applyFont="1" applyFill="1" applyBorder="1" applyAlignment="1" applyProtection="1">
      <alignment horizontal="center"/>
    </xf>
    <xf numFmtId="182" fontId="6" fillId="11" borderId="0" xfId="0" applyNumberFormat="1" applyFont="1" applyFill="1" applyBorder="1" applyProtection="1"/>
    <xf numFmtId="0" fontId="23" fillId="11" borderId="5" xfId="0" applyFont="1" applyFill="1" applyBorder="1" applyProtection="1"/>
    <xf numFmtId="0" fontId="26" fillId="11" borderId="0" xfId="0" applyFont="1" applyFill="1" applyBorder="1" applyAlignment="1" applyProtection="1"/>
    <xf numFmtId="0" fontId="26" fillId="11" borderId="0" xfId="0" applyFont="1" applyFill="1" applyBorder="1" applyProtection="1"/>
    <xf numFmtId="182" fontId="26" fillId="11" borderId="0" xfId="0" applyNumberFormat="1" applyFont="1" applyFill="1" applyBorder="1" applyAlignment="1" applyProtection="1">
      <alignment horizontal="center"/>
    </xf>
    <xf numFmtId="182" fontId="16" fillId="11" borderId="0" xfId="0" applyNumberFormat="1" applyFont="1" applyFill="1" applyBorder="1" applyProtection="1"/>
    <xf numFmtId="0" fontId="26" fillId="12" borderId="0" xfId="0" applyFont="1" applyFill="1" applyBorder="1" applyProtection="1"/>
    <xf numFmtId="0" fontId="13" fillId="11" borderId="0" xfId="0" applyFont="1" applyFill="1" applyBorder="1" applyAlignment="1" applyProtection="1">
      <alignment horizontal="center"/>
    </xf>
    <xf numFmtId="0" fontId="13" fillId="11" borderId="5" xfId="0" applyFont="1" applyFill="1" applyBorder="1" applyProtection="1"/>
    <xf numFmtId="0" fontId="7" fillId="11" borderId="5" xfId="0" applyFont="1" applyFill="1" applyBorder="1" applyProtection="1"/>
    <xf numFmtId="182" fontId="6" fillId="11" borderId="5" xfId="0" applyNumberFormat="1" applyFont="1" applyFill="1" applyBorder="1" applyProtection="1"/>
    <xf numFmtId="0" fontId="6" fillId="11" borderId="0" xfId="0" applyNumberFormat="1" applyFont="1" applyFill="1" applyBorder="1" applyAlignment="1" applyProtection="1">
      <alignment horizontal="center"/>
    </xf>
    <xf numFmtId="0" fontId="6" fillId="11" borderId="17" xfId="0" applyFont="1" applyFill="1" applyBorder="1" applyProtection="1"/>
    <xf numFmtId="0" fontId="6" fillId="11" borderId="23" xfId="0" applyFont="1" applyFill="1" applyBorder="1" applyProtection="1"/>
    <xf numFmtId="1" fontId="93" fillId="11" borderId="0" xfId="0" applyNumberFormat="1" applyFont="1" applyFill="1" applyBorder="1" applyAlignment="1" applyProtection="1">
      <alignment horizontal="center"/>
    </xf>
    <xf numFmtId="42" fontId="6" fillId="5" borderId="1" xfId="0" applyNumberFormat="1" applyFont="1" applyFill="1" applyBorder="1" applyAlignment="1" applyProtection="1">
      <alignment horizontal="left"/>
    </xf>
    <xf numFmtId="184" fontId="6" fillId="7" borderId="1" xfId="0" applyNumberFormat="1" applyFont="1" applyFill="1" applyBorder="1" applyAlignment="1" applyProtection="1">
      <alignment horizontal="center"/>
    </xf>
    <xf numFmtId="184" fontId="6" fillId="5" borderId="1" xfId="0" applyNumberFormat="1" applyFont="1" applyFill="1" applyBorder="1" applyAlignment="1" applyProtection="1">
      <alignment horizontal="center"/>
    </xf>
    <xf numFmtId="0" fontId="100" fillId="0" borderId="0" xfId="0" applyFont="1"/>
    <xf numFmtId="0" fontId="18" fillId="11" borderId="0" xfId="0" applyFont="1" applyFill="1" applyAlignment="1">
      <alignment wrapText="1"/>
    </xf>
    <xf numFmtId="0" fontId="6" fillId="12" borderId="0" xfId="0" applyFont="1" applyFill="1" applyBorder="1"/>
    <xf numFmtId="0" fontId="6" fillId="11" borderId="23" xfId="0" applyFont="1" applyFill="1" applyBorder="1"/>
    <xf numFmtId="0" fontId="6" fillId="11" borderId="24" xfId="0" applyFont="1" applyFill="1" applyBorder="1"/>
    <xf numFmtId="0" fontId="6" fillId="11" borderId="25" xfId="0" applyFont="1" applyFill="1" applyBorder="1"/>
    <xf numFmtId="0" fontId="6" fillId="11" borderId="5" xfId="0" applyFont="1" applyFill="1" applyBorder="1"/>
    <xf numFmtId="0" fontId="6" fillId="11" borderId="0" xfId="0" applyFont="1" applyFill="1" applyBorder="1"/>
    <xf numFmtId="0" fontId="6" fillId="11" borderId="6" xfId="0" applyFont="1" applyFill="1" applyBorder="1"/>
    <xf numFmtId="0" fontId="23" fillId="11" borderId="5" xfId="0" applyFont="1" applyFill="1" applyBorder="1"/>
    <xf numFmtId="0" fontId="25" fillId="11" borderId="0" xfId="0" applyFont="1" applyFill="1" applyBorder="1"/>
    <xf numFmtId="0" fontId="25" fillId="11" borderId="6" xfId="0" applyFont="1" applyFill="1" applyBorder="1"/>
    <xf numFmtId="0" fontId="25" fillId="12" borderId="0" xfId="0" applyFont="1" applyFill="1" applyBorder="1"/>
    <xf numFmtId="0" fontId="6" fillId="11" borderId="17" xfId="0" applyFont="1" applyFill="1" applyBorder="1"/>
    <xf numFmtId="0" fontId="6" fillId="11" borderId="27" xfId="0" applyFont="1" applyFill="1" applyBorder="1"/>
    <xf numFmtId="0" fontId="6" fillId="11" borderId="28" xfId="0" applyFont="1" applyFill="1" applyBorder="1"/>
    <xf numFmtId="0" fontId="32" fillId="12" borderId="0" xfId="0" applyFont="1" applyFill="1" applyBorder="1"/>
    <xf numFmtId="0" fontId="42" fillId="9" borderId="19" xfId="0" applyFont="1" applyFill="1" applyBorder="1" applyAlignment="1" applyProtection="1">
      <alignment horizontal="center"/>
    </xf>
    <xf numFmtId="0" fontId="100" fillId="3" borderId="0" xfId="0" applyFont="1" applyFill="1" applyBorder="1" applyProtection="1"/>
    <xf numFmtId="0" fontId="100" fillId="2" borderId="0" xfId="0" applyFont="1" applyFill="1" applyBorder="1" applyAlignment="1" applyProtection="1">
      <alignment horizontal="center"/>
    </xf>
    <xf numFmtId="0" fontId="42" fillId="2" borderId="27" xfId="0" applyFont="1" applyFill="1" applyBorder="1" applyProtection="1"/>
    <xf numFmtId="0" fontId="42" fillId="2" borderId="27" xfId="0" applyFont="1" applyFill="1" applyBorder="1" applyAlignment="1" applyProtection="1">
      <alignment horizontal="center"/>
    </xf>
    <xf numFmtId="0" fontId="6" fillId="2" borderId="27" xfId="0" applyFont="1" applyFill="1" applyBorder="1" applyProtection="1"/>
    <xf numFmtId="0" fontId="6" fillId="2" borderId="27" xfId="0" applyFont="1" applyFill="1" applyBorder="1" applyAlignment="1" applyProtection="1">
      <alignment horizontal="center"/>
    </xf>
    <xf numFmtId="0" fontId="6" fillId="3" borderId="19" xfId="0" applyFont="1" applyFill="1" applyBorder="1" applyProtection="1"/>
    <xf numFmtId="0" fontId="101" fillId="0" borderId="0" xfId="0" applyFont="1" applyFill="1" applyBorder="1" applyAlignment="1" applyProtection="1">
      <alignment horizontal="left"/>
    </xf>
    <xf numFmtId="0" fontId="6" fillId="9" borderId="0" xfId="0" applyFont="1" applyFill="1" applyBorder="1" applyProtection="1"/>
    <xf numFmtId="0" fontId="6" fillId="9" borderId="0" xfId="0" applyFont="1" applyFill="1" applyBorder="1" applyAlignment="1" applyProtection="1"/>
    <xf numFmtId="182" fontId="6" fillId="9" borderId="0" xfId="0" applyNumberFormat="1" applyFont="1" applyFill="1" applyBorder="1" applyAlignment="1" applyProtection="1">
      <alignment horizontal="center"/>
    </xf>
    <xf numFmtId="182" fontId="6" fillId="9" borderId="0" xfId="0" applyNumberFormat="1" applyFont="1" applyFill="1" applyBorder="1" applyProtection="1"/>
    <xf numFmtId="0" fontId="26" fillId="9" borderId="0" xfId="0" applyFont="1" applyFill="1" applyBorder="1" applyProtection="1"/>
    <xf numFmtId="0" fontId="1" fillId="9" borderId="0" xfId="0" applyFont="1" applyFill="1" applyBorder="1" applyProtection="1"/>
    <xf numFmtId="0" fontId="6" fillId="8" borderId="21" xfId="0" applyFont="1" applyFill="1" applyBorder="1" applyProtection="1"/>
    <xf numFmtId="0" fontId="6" fillId="8" borderId="21" xfId="0" applyFont="1" applyFill="1" applyBorder="1" applyAlignment="1" applyProtection="1">
      <alignment horizontal="center"/>
    </xf>
    <xf numFmtId="0" fontId="94" fillId="8" borderId="21" xfId="0" applyFont="1" applyFill="1" applyBorder="1" applyProtection="1"/>
    <xf numFmtId="0" fontId="95" fillId="8" borderId="21" xfId="0" applyFont="1" applyFill="1" applyBorder="1" applyProtection="1"/>
    <xf numFmtId="182" fontId="6" fillId="7" borderId="21" xfId="0" applyNumberFormat="1" applyFont="1" applyFill="1" applyBorder="1" applyAlignment="1" applyProtection="1">
      <alignment horizontal="center"/>
    </xf>
    <xf numFmtId="0" fontId="7" fillId="8" borderId="21" xfId="0" applyFont="1" applyFill="1" applyBorder="1" applyAlignment="1" applyProtection="1">
      <alignment horizontal="left"/>
    </xf>
    <xf numFmtId="182" fontId="96" fillId="6" borderId="21" xfId="0" applyNumberFormat="1" applyFont="1" applyFill="1" applyBorder="1" applyAlignment="1" applyProtection="1">
      <alignment horizontal="center"/>
    </xf>
    <xf numFmtId="0" fontId="15" fillId="8" borderId="21" xfId="0" applyFont="1" applyFill="1" applyBorder="1" applyProtection="1"/>
    <xf numFmtId="0" fontId="97" fillId="8" borderId="21" xfId="0" applyFont="1" applyFill="1" applyBorder="1" applyAlignment="1" applyProtection="1">
      <alignment horizontal="left"/>
    </xf>
    <xf numFmtId="0" fontId="97" fillId="8" borderId="21" xfId="0" applyFont="1" applyFill="1" applyBorder="1" applyProtection="1"/>
    <xf numFmtId="0" fontId="7" fillId="8" borderId="21" xfId="0" applyFont="1" applyFill="1" applyBorder="1" applyProtection="1"/>
    <xf numFmtId="182" fontId="6" fillId="8" borderId="21" xfId="0" applyNumberFormat="1" applyFont="1" applyFill="1" applyBorder="1" applyAlignment="1" applyProtection="1">
      <alignment horizontal="center"/>
    </xf>
    <xf numFmtId="182" fontId="7" fillId="8" borderId="21" xfId="0" applyNumberFormat="1" applyFont="1" applyFill="1" applyBorder="1" applyAlignment="1" applyProtection="1">
      <alignment horizontal="center"/>
    </xf>
    <xf numFmtId="0" fontId="95" fillId="8" borderId="21" xfId="0" applyFont="1" applyFill="1" applyBorder="1" applyAlignment="1" applyProtection="1">
      <alignment horizontal="left"/>
    </xf>
    <xf numFmtId="0" fontId="6" fillId="8" borderId="21" xfId="0" applyFont="1" applyFill="1" applyBorder="1" applyAlignment="1" applyProtection="1">
      <alignment horizontal="left"/>
    </xf>
    <xf numFmtId="0" fontId="93" fillId="8" borderId="21" xfId="0" applyFont="1" applyFill="1" applyBorder="1" applyAlignment="1" applyProtection="1"/>
    <xf numFmtId="182" fontId="6" fillId="8" borderId="21" xfId="0" applyNumberFormat="1" applyFont="1" applyFill="1" applyBorder="1" applyProtection="1"/>
    <xf numFmtId="0" fontId="6" fillId="8" borderId="21" xfId="0" applyFont="1" applyFill="1" applyBorder="1" applyAlignment="1" applyProtection="1"/>
    <xf numFmtId="9" fontId="6" fillId="7" borderId="21" xfId="0" applyNumberFormat="1" applyFont="1" applyFill="1" applyBorder="1" applyAlignment="1" applyProtection="1">
      <alignment horizontal="center"/>
    </xf>
    <xf numFmtId="0" fontId="6" fillId="8" borderId="21" xfId="0" applyNumberFormat="1" applyFont="1" applyFill="1" applyBorder="1" applyAlignment="1" applyProtection="1">
      <alignment horizontal="left"/>
    </xf>
    <xf numFmtId="9" fontId="6" fillId="8" borderId="21" xfId="0" applyNumberFormat="1" applyFont="1" applyFill="1" applyBorder="1" applyAlignment="1" applyProtection="1">
      <alignment horizontal="center"/>
    </xf>
    <xf numFmtId="0" fontId="95" fillId="8" borderId="21" xfId="0" applyFont="1" applyFill="1" applyBorder="1" applyAlignment="1" applyProtection="1"/>
    <xf numFmtId="182" fontId="41" fillId="8" borderId="21" xfId="0" applyNumberFormat="1" applyFont="1" applyFill="1" applyBorder="1" applyAlignment="1" applyProtection="1">
      <alignment horizontal="center"/>
    </xf>
    <xf numFmtId="183" fontId="6" fillId="8" borderId="21" xfId="0" applyNumberFormat="1" applyFont="1" applyFill="1" applyBorder="1" applyProtection="1"/>
    <xf numFmtId="0" fontId="6" fillId="8" borderId="21" xfId="0" applyNumberFormat="1" applyFont="1" applyFill="1" applyBorder="1" applyAlignment="1" applyProtection="1"/>
    <xf numFmtId="170" fontId="6" fillId="7" borderId="21" xfId="0" applyNumberFormat="1" applyFont="1" applyFill="1" applyBorder="1" applyAlignment="1" applyProtection="1">
      <alignment horizontal="center"/>
    </xf>
    <xf numFmtId="2" fontId="96" fillId="6" borderId="21" xfId="0" applyNumberFormat="1" applyFont="1" applyFill="1" applyBorder="1" applyAlignment="1" applyProtection="1">
      <alignment horizontal="center"/>
    </xf>
    <xf numFmtId="181" fontId="96" fillId="6" borderId="21" xfId="0" applyNumberFormat="1" applyFont="1" applyFill="1" applyBorder="1" applyAlignment="1" applyProtection="1">
      <alignment horizontal="center"/>
    </xf>
    <xf numFmtId="10" fontId="96" fillId="6" borderId="21" xfId="0" applyNumberFormat="1" applyFont="1" applyFill="1" applyBorder="1" applyAlignment="1" applyProtection="1">
      <alignment horizontal="center"/>
    </xf>
    <xf numFmtId="0" fontId="95" fillId="8" borderId="21" xfId="0" applyNumberFormat="1" applyFont="1" applyFill="1" applyBorder="1" applyAlignment="1" applyProtection="1"/>
    <xf numFmtId="183" fontId="6" fillId="8" borderId="21" xfId="0" applyNumberFormat="1" applyFont="1" applyFill="1" applyBorder="1" applyAlignment="1" applyProtection="1">
      <alignment horizontal="center"/>
    </xf>
    <xf numFmtId="182" fontId="95" fillId="8" borderId="21" xfId="0" applyNumberFormat="1" applyFont="1" applyFill="1" applyBorder="1" applyAlignment="1" applyProtection="1"/>
    <xf numFmtId="182" fontId="6" fillId="8" borderId="21" xfId="0" applyNumberFormat="1" applyFont="1" applyFill="1" applyBorder="1" applyAlignment="1" applyProtection="1"/>
    <xf numFmtId="182" fontId="6" fillId="7" borderId="21" xfId="0" applyNumberFormat="1" applyFont="1" applyFill="1" applyBorder="1" applyProtection="1"/>
    <xf numFmtId="9" fontId="96" fillId="6" borderId="21" xfId="2" applyFont="1" applyFill="1" applyBorder="1" applyAlignment="1" applyProtection="1">
      <alignment horizontal="center"/>
    </xf>
    <xf numFmtId="0" fontId="13" fillId="8" borderId="21" xfId="0" applyFont="1" applyFill="1" applyBorder="1" applyProtection="1"/>
    <xf numFmtId="0" fontId="15" fillId="8" borderId="21" xfId="0" applyFont="1" applyFill="1" applyBorder="1" applyAlignment="1" applyProtection="1"/>
    <xf numFmtId="2" fontId="6" fillId="7" borderId="21" xfId="0" applyNumberFormat="1" applyFont="1" applyFill="1" applyBorder="1" applyAlignment="1" applyProtection="1">
      <alignment horizontal="center"/>
    </xf>
    <xf numFmtId="2" fontId="6" fillId="8" borderId="21" xfId="0" applyNumberFormat="1" applyFont="1" applyFill="1" applyBorder="1" applyProtection="1"/>
    <xf numFmtId="2" fontId="6" fillId="8" borderId="21" xfId="0" applyNumberFormat="1" applyFont="1" applyFill="1" applyBorder="1" applyAlignment="1" applyProtection="1">
      <alignment horizontal="center"/>
    </xf>
    <xf numFmtId="182" fontId="6" fillId="9" borderId="21" xfId="0" applyNumberFormat="1" applyFont="1" applyFill="1" applyBorder="1" applyProtection="1"/>
    <xf numFmtId="182" fontId="6" fillId="9" borderId="21" xfId="0" applyNumberFormat="1" applyFont="1" applyFill="1" applyBorder="1" applyAlignment="1" applyProtection="1">
      <alignment horizontal="center"/>
    </xf>
    <xf numFmtId="0" fontId="13" fillId="9" borderId="21" xfId="0" applyFont="1" applyFill="1" applyBorder="1" applyProtection="1"/>
    <xf numFmtId="0" fontId="93" fillId="9" borderId="21" xfId="0" applyFont="1" applyFill="1" applyBorder="1" applyAlignment="1" applyProtection="1"/>
    <xf numFmtId="0" fontId="6" fillId="9" borderId="21" xfId="0" applyFont="1" applyFill="1" applyBorder="1" applyProtection="1"/>
    <xf numFmtId="0" fontId="13" fillId="9" borderId="21" xfId="0" applyFont="1" applyFill="1" applyBorder="1" applyAlignment="1" applyProtection="1"/>
    <xf numFmtId="0" fontId="6" fillId="9" borderId="21" xfId="0" applyFont="1" applyFill="1" applyBorder="1" applyAlignment="1" applyProtection="1"/>
    <xf numFmtId="0" fontId="6" fillId="9" borderId="21" xfId="0" applyFont="1" applyFill="1" applyBorder="1" applyAlignment="1" applyProtection="1">
      <alignment horizontal="left"/>
    </xf>
    <xf numFmtId="0" fontId="6" fillId="9" borderId="21" xfId="0" applyNumberFormat="1" applyFont="1" applyFill="1" applyBorder="1" applyAlignment="1" applyProtection="1">
      <alignment horizontal="center"/>
    </xf>
    <xf numFmtId="0" fontId="95" fillId="9" borderId="21" xfId="0" applyFont="1" applyFill="1" applyBorder="1" applyAlignment="1" applyProtection="1">
      <alignment horizontal="left"/>
    </xf>
    <xf numFmtId="0" fontId="93" fillId="9" borderId="21" xfId="0" applyFont="1" applyFill="1" applyBorder="1" applyAlignment="1" applyProtection="1">
      <alignment horizontal="center"/>
    </xf>
    <xf numFmtId="0" fontId="6" fillId="9" borderId="21" xfId="0" applyNumberFormat="1" applyFont="1" applyFill="1" applyBorder="1" applyAlignment="1" applyProtection="1">
      <alignment horizontal="left"/>
    </xf>
    <xf numFmtId="2" fontId="98" fillId="9" borderId="21" xfId="0" applyNumberFormat="1" applyFont="1" applyFill="1" applyBorder="1" applyAlignment="1" applyProtection="1">
      <alignment horizontal="center"/>
    </xf>
    <xf numFmtId="182" fontId="6" fillId="8" borderId="31" xfId="0" applyNumberFormat="1" applyFont="1" applyFill="1" applyBorder="1" applyProtection="1"/>
    <xf numFmtId="182" fontId="6" fillId="8" borderId="31" xfId="0" applyNumberFormat="1" applyFont="1" applyFill="1" applyBorder="1" applyAlignment="1" applyProtection="1"/>
    <xf numFmtId="182" fontId="6" fillId="8" borderId="31" xfId="0" applyNumberFormat="1" applyFont="1" applyFill="1" applyBorder="1" applyAlignment="1" applyProtection="1">
      <alignment horizontal="center"/>
    </xf>
    <xf numFmtId="0" fontId="6" fillId="8" borderId="31" xfId="0" applyFont="1" applyFill="1" applyBorder="1" applyAlignment="1" applyProtection="1">
      <alignment horizontal="center"/>
    </xf>
    <xf numFmtId="0" fontId="6" fillId="8" borderId="31" xfId="0" applyFont="1" applyFill="1" applyBorder="1" applyAlignment="1" applyProtection="1"/>
    <xf numFmtId="0" fontId="6" fillId="8" borderId="31" xfId="0" applyFont="1" applyFill="1" applyBorder="1" applyProtection="1"/>
    <xf numFmtId="2" fontId="6" fillId="8" borderId="31" xfId="0" applyNumberFormat="1" applyFont="1" applyFill="1" applyBorder="1" applyAlignment="1" applyProtection="1">
      <alignment horizontal="center"/>
    </xf>
    <xf numFmtId="0" fontId="6" fillId="9" borderId="31" xfId="0" applyFont="1" applyFill="1" applyBorder="1" applyProtection="1"/>
    <xf numFmtId="0" fontId="6" fillId="9" borderId="31" xfId="0" applyFont="1" applyFill="1" applyBorder="1" applyAlignment="1" applyProtection="1"/>
    <xf numFmtId="0" fontId="6" fillId="9" borderId="31" xfId="0" applyNumberFormat="1" applyFont="1" applyFill="1" applyBorder="1" applyAlignment="1" applyProtection="1">
      <alignment horizontal="center"/>
    </xf>
    <xf numFmtId="182" fontId="6" fillId="9" borderId="31" xfId="0" applyNumberFormat="1" applyFont="1" applyFill="1" applyBorder="1" applyProtection="1"/>
    <xf numFmtId="0" fontId="13" fillId="8" borderId="32" xfId="0" applyFont="1" applyFill="1" applyBorder="1" applyProtection="1"/>
    <xf numFmtId="0" fontId="6" fillId="8" borderId="32" xfId="0" applyFont="1" applyFill="1" applyBorder="1" applyAlignment="1" applyProtection="1"/>
    <xf numFmtId="0" fontId="6" fillId="8" borderId="32" xfId="0" applyFont="1" applyFill="1" applyBorder="1" applyProtection="1"/>
    <xf numFmtId="182" fontId="6" fillId="9" borderId="32" xfId="0" applyNumberFormat="1" applyFont="1" applyFill="1" applyBorder="1" applyProtection="1"/>
    <xf numFmtId="182" fontId="6" fillId="9" borderId="32" xfId="0" applyNumberFormat="1" applyFont="1" applyFill="1" applyBorder="1" applyAlignment="1" applyProtection="1"/>
    <xf numFmtId="182" fontId="6" fillId="9" borderId="32" xfId="0" applyNumberFormat="1" applyFont="1" applyFill="1" applyBorder="1" applyAlignment="1" applyProtection="1">
      <alignment horizontal="center"/>
    </xf>
    <xf numFmtId="0" fontId="6" fillId="9" borderId="32" xfId="0" applyFont="1" applyFill="1" applyBorder="1" applyProtection="1"/>
    <xf numFmtId="0" fontId="6" fillId="9" borderId="32" xfId="0" applyFont="1" applyFill="1" applyBorder="1" applyAlignment="1" applyProtection="1"/>
    <xf numFmtId="0" fontId="6" fillId="9" borderId="32" xfId="0" applyNumberFormat="1" applyFont="1" applyFill="1" applyBorder="1" applyAlignment="1" applyProtection="1">
      <alignment horizontal="center"/>
    </xf>
    <xf numFmtId="0" fontId="6" fillId="11" borderId="33" xfId="0" applyFont="1" applyFill="1" applyBorder="1" applyProtection="1"/>
    <xf numFmtId="0" fontId="6" fillId="11" borderId="35" xfId="0" applyFont="1" applyFill="1" applyBorder="1" applyProtection="1"/>
    <xf numFmtId="182" fontId="6" fillId="11" borderId="34" xfId="0" applyNumberFormat="1" applyFont="1" applyFill="1" applyBorder="1" applyProtection="1"/>
    <xf numFmtId="182" fontId="6" fillId="11" borderId="33" xfId="0" applyNumberFormat="1" applyFont="1" applyFill="1" applyBorder="1" applyProtection="1"/>
    <xf numFmtId="182" fontId="6" fillId="11" borderId="34" xfId="0" applyNumberFormat="1" applyFont="1" applyFill="1" applyBorder="1" applyAlignment="1" applyProtection="1"/>
    <xf numFmtId="182" fontId="6" fillId="11" borderId="34" xfId="0" applyNumberFormat="1" applyFont="1" applyFill="1" applyBorder="1" applyAlignment="1" applyProtection="1">
      <alignment horizontal="center"/>
    </xf>
    <xf numFmtId="182" fontId="6" fillId="11" borderId="35" xfId="0" applyNumberFormat="1" applyFont="1" applyFill="1" applyBorder="1" applyProtection="1"/>
    <xf numFmtId="0" fontId="93" fillId="11" borderId="34" xfId="3" applyNumberFormat="1" applyFont="1" applyFill="1" applyBorder="1" applyAlignment="1" applyProtection="1">
      <alignment horizontal="center"/>
    </xf>
    <xf numFmtId="0" fontId="6" fillId="11" borderId="39" xfId="0" applyFont="1" applyFill="1" applyBorder="1" applyProtection="1"/>
    <xf numFmtId="0" fontId="26" fillId="11" borderId="39" xfId="0" applyFont="1" applyFill="1" applyBorder="1" applyProtection="1"/>
    <xf numFmtId="0" fontId="6" fillId="11" borderId="36" xfId="0" applyFont="1" applyFill="1" applyBorder="1" applyProtection="1"/>
    <xf numFmtId="0" fontId="13" fillId="11" borderId="37" xfId="0" applyFont="1" applyFill="1" applyBorder="1" applyProtection="1"/>
    <xf numFmtId="0" fontId="6" fillId="11" borderId="37" xfId="0" applyFont="1" applyFill="1" applyBorder="1" applyAlignment="1" applyProtection="1"/>
    <xf numFmtId="0" fontId="6" fillId="11" borderId="37" xfId="0" applyFont="1" applyFill="1" applyBorder="1" applyProtection="1"/>
    <xf numFmtId="0" fontId="6" fillId="11" borderId="38" xfId="0" applyFont="1" applyFill="1" applyBorder="1" applyProtection="1"/>
    <xf numFmtId="0" fontId="6" fillId="11" borderId="40" xfId="0" applyFont="1" applyFill="1" applyBorder="1" applyProtection="1"/>
    <xf numFmtId="0" fontId="6" fillId="11" borderId="40" xfId="0" applyFont="1" applyFill="1" applyBorder="1" applyAlignment="1" applyProtection="1"/>
    <xf numFmtId="0" fontId="6" fillId="11" borderId="40" xfId="0" applyNumberFormat="1" applyFont="1" applyFill="1" applyBorder="1" applyAlignment="1" applyProtection="1">
      <alignment horizontal="center"/>
    </xf>
    <xf numFmtId="182" fontId="6" fillId="11" borderId="40" xfId="0" applyNumberFormat="1" applyFont="1" applyFill="1" applyBorder="1" applyProtection="1"/>
    <xf numFmtId="0" fontId="13" fillId="11" borderId="24" xfId="0" applyFont="1" applyFill="1" applyBorder="1" applyProtection="1"/>
    <xf numFmtId="182" fontId="6" fillId="11" borderId="39" xfId="0" applyNumberFormat="1" applyFont="1" applyFill="1" applyBorder="1" applyProtection="1"/>
    <xf numFmtId="0" fontId="6" fillId="11" borderId="7" xfId="0" applyFont="1" applyFill="1" applyBorder="1" applyProtection="1"/>
    <xf numFmtId="0" fontId="6" fillId="11" borderId="7" xfId="0" applyFont="1" applyFill="1" applyBorder="1" applyAlignment="1" applyProtection="1"/>
    <xf numFmtId="182" fontId="6" fillId="11" borderId="7" xfId="0" applyNumberFormat="1" applyFont="1" applyFill="1" applyBorder="1" applyAlignment="1" applyProtection="1">
      <alignment horizontal="center"/>
    </xf>
    <xf numFmtId="182" fontId="6" fillId="11" borderId="7" xfId="0" applyNumberFormat="1" applyFont="1" applyFill="1" applyBorder="1" applyProtection="1"/>
    <xf numFmtId="0" fontId="6" fillId="11" borderId="16" xfId="0" applyFont="1" applyFill="1" applyBorder="1" applyProtection="1"/>
    <xf numFmtId="0" fontId="91" fillId="11" borderId="27" xfId="1" applyFont="1" applyFill="1" applyBorder="1" applyAlignment="1" applyProtection="1">
      <alignment horizontal="right"/>
    </xf>
    <xf numFmtId="0" fontId="102" fillId="2" borderId="0" xfId="0" applyFont="1" applyFill="1" applyBorder="1" applyAlignment="1" applyProtection="1">
      <alignment horizontal="right"/>
    </xf>
    <xf numFmtId="1" fontId="11" fillId="0" borderId="1" xfId="0" applyNumberFormat="1" applyFont="1" applyFill="1" applyBorder="1" applyAlignment="1" applyProtection="1">
      <alignment horizontal="center"/>
      <protection locked="0"/>
    </xf>
    <xf numFmtId="0" fontId="0" fillId="8" borderId="0" xfId="0" applyFill="1" applyProtection="1"/>
    <xf numFmtId="184" fontId="6" fillId="0" borderId="1" xfId="0" applyNumberFormat="1" applyFont="1" applyFill="1" applyBorder="1" applyAlignment="1" applyProtection="1">
      <alignment horizontal="center"/>
      <protection locked="0"/>
    </xf>
    <xf numFmtId="0" fontId="6" fillId="9" borderId="0" xfId="0" applyFont="1" applyFill="1" applyBorder="1" applyAlignment="1" applyProtection="1">
      <alignment horizontal="center"/>
    </xf>
    <xf numFmtId="174" fontId="6" fillId="9" borderId="0" xfId="0" applyNumberFormat="1" applyFont="1" applyFill="1" applyBorder="1" applyAlignment="1" applyProtection="1">
      <alignment horizontal="center"/>
    </xf>
    <xf numFmtId="174" fontId="83" fillId="9" borderId="0" xfId="0" applyNumberFormat="1" applyFont="1" applyFill="1" applyBorder="1" applyAlignment="1" applyProtection="1">
      <alignment horizontal="center"/>
    </xf>
    <xf numFmtId="0" fontId="0" fillId="3" borderId="1" xfId="0" applyFill="1" applyBorder="1" applyProtection="1"/>
    <xf numFmtId="164" fontId="88" fillId="10" borderId="1" xfId="0" applyNumberFormat="1" applyFont="1" applyFill="1" applyBorder="1" applyProtection="1"/>
    <xf numFmtId="164" fontId="88" fillId="9" borderId="1" xfId="0" applyNumberFormat="1" applyFont="1" applyFill="1" applyBorder="1" applyProtection="1"/>
    <xf numFmtId="0" fontId="11" fillId="13" borderId="1" xfId="0" applyFont="1" applyFill="1" applyBorder="1" applyAlignment="1" applyProtection="1">
      <alignment horizontal="left"/>
      <protection locked="0"/>
    </xf>
    <xf numFmtId="0" fontId="11" fillId="13" borderId="1" xfId="0" applyFont="1" applyFill="1" applyBorder="1" applyAlignment="1" applyProtection="1">
      <alignment horizontal="center"/>
      <protection locked="0"/>
    </xf>
    <xf numFmtId="174" fontId="11" fillId="13" borderId="1" xfId="0" applyNumberFormat="1" applyFont="1" applyFill="1" applyBorder="1" applyAlignment="1" applyProtection="1">
      <alignment horizontal="center"/>
      <protection locked="0"/>
    </xf>
    <xf numFmtId="0" fontId="6" fillId="13" borderId="1" xfId="0" applyFont="1" applyFill="1" applyBorder="1" applyAlignment="1" applyProtection="1">
      <alignment horizontal="center"/>
      <protection locked="0"/>
    </xf>
    <xf numFmtId="169" fontId="11" fillId="13" borderId="1" xfId="3" applyNumberFormat="1" applyFont="1" applyFill="1" applyBorder="1" applyAlignment="1" applyProtection="1">
      <alignment horizontal="center"/>
      <protection locked="0"/>
    </xf>
    <xf numFmtId="0" fontId="6" fillId="13" borderId="1" xfId="0" applyFont="1" applyFill="1" applyBorder="1" applyAlignment="1" applyProtection="1">
      <alignment horizontal="left"/>
      <protection locked="0"/>
    </xf>
    <xf numFmtId="174" fontId="6" fillId="13" borderId="1" xfId="0" applyNumberFormat="1" applyFont="1" applyFill="1" applyBorder="1" applyAlignment="1" applyProtection="1">
      <alignment horizontal="center"/>
      <protection locked="0"/>
    </xf>
    <xf numFmtId="169" fontId="6" fillId="13" borderId="1" xfId="3" applyNumberFormat="1" applyFont="1" applyFill="1" applyBorder="1" applyAlignment="1" applyProtection="1">
      <alignment horizontal="center"/>
      <protection locked="0"/>
    </xf>
    <xf numFmtId="49" fontId="6" fillId="9"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protection locked="0"/>
    </xf>
    <xf numFmtId="0" fontId="13" fillId="8" borderId="0" xfId="0" applyFont="1" applyFill="1" applyBorder="1" applyProtection="1"/>
    <xf numFmtId="164" fontId="6" fillId="13" borderId="1" xfId="0" applyNumberFormat="1" applyFont="1" applyFill="1" applyBorder="1" applyAlignment="1" applyProtection="1">
      <alignment horizontal="center"/>
      <protection locked="0"/>
    </xf>
    <xf numFmtId="0" fontId="0" fillId="3" borderId="0" xfId="0" applyFill="1" applyProtection="1"/>
    <xf numFmtId="164" fontId="6" fillId="7" borderId="1" xfId="0" applyNumberFormat="1" applyFont="1" applyFill="1" applyBorder="1" applyAlignment="1" applyProtection="1">
      <alignment horizontal="left"/>
    </xf>
    <xf numFmtId="9" fontId="6" fillId="3" borderId="1" xfId="2" applyFont="1" applyFill="1" applyBorder="1" applyAlignment="1" applyProtection="1">
      <alignment horizontal="center"/>
    </xf>
    <xf numFmtId="173" fontId="6" fillId="3" borderId="1" xfId="2" applyNumberFormat="1" applyFont="1" applyFill="1" applyBorder="1" applyAlignment="1" applyProtection="1">
      <alignment horizontal="center"/>
    </xf>
    <xf numFmtId="9" fontId="6" fillId="3" borderId="1" xfId="0" applyNumberFormat="1" applyFont="1" applyFill="1" applyBorder="1" applyAlignment="1" applyProtection="1">
      <alignment horizontal="center"/>
    </xf>
    <xf numFmtId="182" fontId="97" fillId="7" borderId="21" xfId="0" applyNumberFormat="1" applyFont="1" applyFill="1" applyBorder="1" applyAlignment="1" applyProtection="1">
      <alignment horizontal="center"/>
    </xf>
    <xf numFmtId="0" fontId="6" fillId="2" borderId="39" xfId="0" applyFont="1" applyFill="1" applyBorder="1" applyProtection="1"/>
    <xf numFmtId="0" fontId="11" fillId="11" borderId="0" xfId="0" applyFont="1" applyFill="1" applyBorder="1" applyProtection="1"/>
    <xf numFmtId="0" fontId="11" fillId="11" borderId="3" xfId="0" applyFont="1" applyFill="1" applyBorder="1" applyProtection="1"/>
    <xf numFmtId="0" fontId="11" fillId="2" borderId="39" xfId="0" applyFont="1" applyFill="1" applyBorder="1" applyProtection="1"/>
    <xf numFmtId="0" fontId="89" fillId="0" borderId="0" xfId="0" applyFont="1" applyAlignment="1" applyProtection="1">
      <alignment horizontal="left"/>
    </xf>
    <xf numFmtId="0" fontId="89" fillId="0" borderId="0" xfId="0" applyFont="1" applyProtection="1"/>
    <xf numFmtId="0" fontId="6" fillId="9" borderId="1" xfId="0" applyNumberFormat="1" applyFont="1" applyFill="1" applyBorder="1" applyProtection="1">
      <protection locked="0"/>
    </xf>
    <xf numFmtId="2" fontId="16" fillId="2" borderId="0" xfId="0" applyNumberFormat="1" applyFont="1" applyFill="1" applyBorder="1" applyAlignment="1" applyProtection="1">
      <alignment horizontal="left"/>
    </xf>
    <xf numFmtId="0" fontId="28" fillId="2" borderId="39" xfId="0" applyFont="1" applyFill="1" applyBorder="1" applyProtection="1"/>
    <xf numFmtId="42" fontId="11" fillId="5" borderId="1" xfId="0" applyNumberFormat="1" applyFont="1" applyFill="1" applyBorder="1" applyProtection="1"/>
    <xf numFmtId="170" fontId="11" fillId="3" borderId="0" xfId="0" applyNumberFormat="1" applyFont="1" applyFill="1" applyBorder="1" applyAlignment="1" applyProtection="1">
      <alignment horizontal="left"/>
    </xf>
    <xf numFmtId="0" fontId="11" fillId="3" borderId="0" xfId="0" applyNumberFormat="1" applyFont="1" applyFill="1" applyBorder="1" applyAlignment="1" applyProtection="1">
      <alignment horizontal="left"/>
    </xf>
    <xf numFmtId="165" fontId="6" fillId="9" borderId="0" xfId="3" applyNumberFormat="1" applyFont="1" applyFill="1" applyBorder="1" applyProtection="1"/>
    <xf numFmtId="44" fontId="89" fillId="9" borderId="0" xfId="0" applyNumberFormat="1" applyFont="1" applyFill="1" applyBorder="1" applyAlignment="1" applyProtection="1">
      <alignment horizontal="center"/>
    </xf>
    <xf numFmtId="0" fontId="15" fillId="11" borderId="0" xfId="0" applyFont="1" applyFill="1" applyBorder="1" applyProtection="1"/>
    <xf numFmtId="0" fontId="6" fillId="2" borderId="12" xfId="0" applyFont="1" applyFill="1" applyBorder="1" applyAlignment="1" applyProtection="1">
      <protection locked="0"/>
    </xf>
    <xf numFmtId="2" fontId="29" fillId="3" borderId="0" xfId="0" applyNumberFormat="1" applyFont="1" applyFill="1" applyBorder="1" applyAlignment="1" applyProtection="1">
      <alignment horizontal="right" wrapText="1"/>
    </xf>
    <xf numFmtId="0" fontId="89" fillId="0" borderId="1" xfId="0" applyFont="1" applyBorder="1" applyAlignment="1" applyProtection="1">
      <alignment horizontal="center"/>
      <protection locked="0"/>
    </xf>
    <xf numFmtId="3" fontId="34" fillId="4" borderId="1" xfId="0" applyNumberFormat="1" applyFont="1" applyFill="1" applyBorder="1" applyAlignment="1" applyProtection="1">
      <alignment horizontal="center"/>
    </xf>
    <xf numFmtId="0" fontId="7" fillId="9" borderId="0" xfId="0" applyFont="1" applyFill="1" applyBorder="1" applyAlignment="1" applyProtection="1">
      <alignment horizontal="left"/>
    </xf>
    <xf numFmtId="184" fontId="6" fillId="7" borderId="22" xfId="0" applyNumberFormat="1" applyFont="1" applyFill="1" applyBorder="1" applyAlignment="1" applyProtection="1">
      <alignment horizontal="center"/>
    </xf>
    <xf numFmtId="0" fontId="11" fillId="11" borderId="2" xfId="0" applyFont="1" applyFill="1" applyBorder="1" applyProtection="1"/>
    <xf numFmtId="0" fontId="103" fillId="0" borderId="0" xfId="0" applyFont="1"/>
    <xf numFmtId="42" fontId="90" fillId="6" borderId="0" xfId="0" applyNumberFormat="1" applyFont="1" applyFill="1" applyBorder="1" applyAlignment="1" applyProtection="1">
      <alignment horizontal="center"/>
    </xf>
    <xf numFmtId="0" fontId="11" fillId="2" borderId="43" xfId="0" applyFont="1" applyFill="1" applyBorder="1" applyProtection="1"/>
    <xf numFmtId="0" fontId="0" fillId="9" borderId="0" xfId="0" applyFill="1"/>
    <xf numFmtId="0" fontId="11" fillId="9" borderId="1" xfId="0" applyFont="1" applyFill="1" applyBorder="1" applyAlignment="1" applyProtection="1">
      <alignment horizontal="center"/>
    </xf>
    <xf numFmtId="42" fontId="11" fillId="7" borderId="1" xfId="0" applyNumberFormat="1" applyFont="1" applyFill="1" applyBorder="1" applyAlignment="1" applyProtection="1">
      <alignment horizontal="center"/>
    </xf>
    <xf numFmtId="0" fontId="105" fillId="2" borderId="0" xfId="0" applyFont="1" applyFill="1" applyBorder="1" applyProtection="1"/>
    <xf numFmtId="42" fontId="88" fillId="10" borderId="1" xfId="0" applyNumberFormat="1" applyFont="1" applyFill="1" applyBorder="1" applyAlignment="1" applyProtection="1">
      <alignment horizontal="center"/>
    </xf>
    <xf numFmtId="0" fontId="6" fillId="11" borderId="43" xfId="0" applyFont="1" applyFill="1" applyBorder="1" applyProtection="1"/>
    <xf numFmtId="0" fontId="6" fillId="11" borderId="6" xfId="0" applyFont="1" applyFill="1" applyBorder="1" applyProtection="1"/>
    <xf numFmtId="0" fontId="107" fillId="11" borderId="0" xfId="0" applyFont="1" applyFill="1" applyBorder="1" applyProtection="1"/>
    <xf numFmtId="0" fontId="108" fillId="11" borderId="0" xfId="0" applyFont="1" applyFill="1" applyBorder="1" applyProtection="1"/>
    <xf numFmtId="164" fontId="109" fillId="11" borderId="0" xfId="0" applyNumberFormat="1" applyFont="1" applyFill="1" applyBorder="1" applyAlignment="1" applyProtection="1"/>
    <xf numFmtId="0" fontId="107" fillId="11" borderId="44" xfId="0" applyFont="1" applyFill="1" applyBorder="1" applyProtection="1"/>
    <xf numFmtId="0" fontId="11" fillId="9" borderId="0" xfId="0" applyFont="1" applyFill="1" applyBorder="1" applyProtection="1"/>
    <xf numFmtId="0" fontId="110" fillId="2" borderId="0" xfId="0" applyFont="1" applyFill="1" applyBorder="1" applyProtection="1"/>
    <xf numFmtId="164" fontId="41" fillId="9" borderId="1" xfId="0" applyNumberFormat="1" applyFont="1" applyFill="1" applyBorder="1" applyAlignment="1" applyProtection="1">
      <alignment horizontal="center"/>
    </xf>
    <xf numFmtId="1" fontId="112" fillId="11" borderId="1" xfId="0" applyNumberFormat="1" applyFont="1" applyFill="1" applyBorder="1" applyAlignment="1" applyProtection="1">
      <alignment horizontal="center"/>
    </xf>
    <xf numFmtId="164" fontId="34" fillId="9" borderId="1" xfId="0" applyNumberFormat="1" applyFont="1" applyFill="1" applyBorder="1" applyAlignment="1" applyProtection="1">
      <alignment horizontal="center"/>
    </xf>
    <xf numFmtId="0" fontId="6" fillId="9" borderId="9" xfId="0" applyFont="1" applyFill="1" applyBorder="1" applyAlignment="1" applyProtection="1">
      <alignment horizontal="center"/>
    </xf>
    <xf numFmtId="0" fontId="114" fillId="3" borderId="1" xfId="0" applyFont="1" applyFill="1" applyBorder="1" applyProtection="1"/>
    <xf numFmtId="0" fontId="11" fillId="0" borderId="0" xfId="0" applyFont="1" applyFill="1" applyBorder="1" applyProtection="1"/>
    <xf numFmtId="0" fontId="11" fillId="0" borderId="0" xfId="0" applyFont="1" applyFill="1" applyBorder="1" applyAlignment="1" applyProtection="1">
      <alignment horizontal="center"/>
    </xf>
    <xf numFmtId="0" fontId="46" fillId="0" borderId="0" xfId="0" applyFont="1" applyFill="1" applyBorder="1" applyProtection="1"/>
    <xf numFmtId="0" fontId="64" fillId="0" borderId="0" xfId="0" applyFont="1" applyFill="1" applyBorder="1" applyProtection="1"/>
    <xf numFmtId="0" fontId="64" fillId="0" borderId="0" xfId="0" applyFont="1" applyFill="1" applyBorder="1" applyAlignment="1" applyProtection="1">
      <alignment horizontal="center"/>
    </xf>
    <xf numFmtId="164" fontId="11" fillId="2" borderId="0" xfId="0" applyNumberFormat="1" applyFont="1" applyFill="1" applyBorder="1" applyAlignment="1" applyProtection="1">
      <alignment horizontal="center"/>
    </xf>
    <xf numFmtId="0" fontId="91" fillId="2" borderId="0" xfId="1" applyFont="1" applyFill="1" applyBorder="1" applyAlignment="1" applyProtection="1">
      <alignment horizontal="right"/>
    </xf>
    <xf numFmtId="0" fontId="66" fillId="0" borderId="45" xfId="0" applyFont="1" applyFill="1" applyBorder="1" applyProtection="1"/>
    <xf numFmtId="0" fontId="112" fillId="9" borderId="11" xfId="0" applyFont="1" applyFill="1" applyBorder="1" applyAlignment="1" applyProtection="1">
      <alignment horizontal="center"/>
    </xf>
    <xf numFmtId="1" fontId="39" fillId="2" borderId="46" xfId="0" applyNumberFormat="1" applyFont="1" applyFill="1" applyBorder="1" applyAlignment="1" applyProtection="1">
      <alignment horizontal="center"/>
    </xf>
    <xf numFmtId="1" fontId="39" fillId="2" borderId="47" xfId="0" applyNumberFormat="1" applyFont="1" applyFill="1" applyBorder="1" applyAlignment="1" applyProtection="1">
      <alignment horizontal="center"/>
    </xf>
    <xf numFmtId="164" fontId="43" fillId="4" borderId="14" xfId="0" applyNumberFormat="1" applyFont="1" applyFill="1" applyBorder="1" applyAlignment="1" applyProtection="1">
      <alignment horizontal="center"/>
    </xf>
    <xf numFmtId="0" fontId="112" fillId="9" borderId="48" xfId="0" applyFont="1" applyFill="1" applyBorder="1" applyAlignment="1" applyProtection="1">
      <alignment horizontal="center"/>
    </xf>
    <xf numFmtId="0" fontId="12" fillId="3" borderId="49" xfId="0" applyFont="1" applyFill="1" applyBorder="1" applyProtection="1"/>
    <xf numFmtId="0" fontId="11" fillId="3" borderId="49" xfId="0" applyFont="1" applyFill="1" applyBorder="1" applyProtection="1"/>
    <xf numFmtId="0" fontId="11" fillId="3" borderId="49" xfId="0" applyFont="1" applyFill="1" applyBorder="1" applyAlignment="1" applyProtection="1">
      <alignment horizontal="center"/>
    </xf>
    <xf numFmtId="0" fontId="111" fillId="3" borderId="50" xfId="0" applyFont="1" applyFill="1" applyBorder="1" applyAlignment="1" applyProtection="1">
      <alignment horizontal="right"/>
    </xf>
    <xf numFmtId="0" fontId="6" fillId="3" borderId="50" xfId="0" applyFont="1" applyFill="1" applyBorder="1" applyProtection="1"/>
    <xf numFmtId="0" fontId="6" fillId="3" borderId="50" xfId="0" applyFont="1" applyFill="1" applyBorder="1" applyAlignment="1" applyProtection="1">
      <alignment horizontal="center"/>
    </xf>
    <xf numFmtId="0" fontId="6" fillId="3" borderId="51" xfId="0" applyFont="1" applyFill="1" applyBorder="1" applyAlignment="1" applyProtection="1">
      <alignment horizontal="center"/>
    </xf>
    <xf numFmtId="164" fontId="43" fillId="9" borderId="14" xfId="0" applyNumberFormat="1" applyFont="1" applyFill="1" applyBorder="1" applyAlignment="1" applyProtection="1">
      <alignment horizontal="center"/>
    </xf>
    <xf numFmtId="0" fontId="11" fillId="9" borderId="14" xfId="0" applyFont="1" applyFill="1" applyBorder="1" applyProtection="1"/>
    <xf numFmtId="164" fontId="11" fillId="9" borderId="1" xfId="0" applyNumberFormat="1" applyFont="1" applyFill="1" applyBorder="1" applyAlignment="1" applyProtection="1">
      <alignment horizontal="center"/>
    </xf>
    <xf numFmtId="0" fontId="39" fillId="2" borderId="0" xfId="0" applyFont="1" applyFill="1" applyBorder="1" applyProtection="1"/>
    <xf numFmtId="0" fontId="6" fillId="2" borderId="43" xfId="0" applyFont="1" applyFill="1" applyBorder="1" applyProtection="1"/>
    <xf numFmtId="0" fontId="66" fillId="0" borderId="0" xfId="0" applyFont="1" applyFill="1" applyBorder="1" applyProtection="1"/>
    <xf numFmtId="0" fontId="66" fillId="0" borderId="0" xfId="0" applyFont="1" applyFill="1" applyBorder="1" applyAlignment="1" applyProtection="1">
      <alignment horizontal="center"/>
    </xf>
    <xf numFmtId="49" fontId="68" fillId="0" borderId="45" xfId="0" applyNumberFormat="1" applyFont="1" applyFill="1" applyBorder="1" applyAlignment="1" applyProtection="1">
      <alignment horizontal="center"/>
    </xf>
    <xf numFmtId="170" fontId="66" fillId="0" borderId="45" xfId="0" applyNumberFormat="1" applyFont="1" applyFill="1" applyBorder="1" applyProtection="1"/>
    <xf numFmtId="0" fontId="65" fillId="0" borderId="23" xfId="0" applyNumberFormat="1" applyFont="1" applyFill="1" applyBorder="1" applyAlignment="1" applyProtection="1">
      <alignment horizontal="left"/>
    </xf>
    <xf numFmtId="0" fontId="68" fillId="0" borderId="24" xfId="0" applyFont="1" applyFill="1" applyBorder="1" applyAlignment="1" applyProtection="1">
      <alignment horizontal="right"/>
    </xf>
    <xf numFmtId="0" fontId="68" fillId="0" borderId="24" xfId="0" applyFont="1" applyFill="1" applyBorder="1" applyAlignment="1" applyProtection="1">
      <alignment horizontal="center"/>
    </xf>
    <xf numFmtId="0" fontId="6" fillId="0" borderId="52" xfId="0" applyFont="1" applyFill="1" applyBorder="1" applyProtection="1"/>
    <xf numFmtId="0" fontId="6" fillId="0" borderId="53" xfId="0" applyFont="1" applyFill="1" applyBorder="1" applyProtection="1"/>
    <xf numFmtId="0" fontId="6" fillId="0" borderId="55" xfId="0" applyFont="1" applyFill="1" applyBorder="1" applyProtection="1"/>
    <xf numFmtId="0" fontId="7" fillId="0" borderId="55" xfId="0" applyFont="1" applyFill="1" applyBorder="1" applyAlignment="1" applyProtection="1">
      <alignment horizontal="left"/>
    </xf>
    <xf numFmtId="0" fontId="7" fillId="0" borderId="55" xfId="0" applyFont="1" applyFill="1" applyBorder="1" applyProtection="1"/>
    <xf numFmtId="0" fontId="66" fillId="0" borderId="60" xfId="0" applyFont="1" applyFill="1" applyBorder="1" applyProtection="1"/>
    <xf numFmtId="0" fontId="66" fillId="0" borderId="61" xfId="0" applyFont="1" applyFill="1" applyBorder="1" applyProtection="1"/>
    <xf numFmtId="0" fontId="66" fillId="0" borderId="61" xfId="0" applyFont="1" applyFill="1" applyBorder="1" applyAlignment="1" applyProtection="1">
      <alignment horizontal="center"/>
    </xf>
    <xf numFmtId="0" fontId="66" fillId="0" borderId="62" xfId="0" applyFont="1" applyFill="1" applyBorder="1" applyProtection="1"/>
    <xf numFmtId="0" fontId="66" fillId="0" borderId="60" xfId="0" applyFont="1" applyFill="1" applyBorder="1" applyAlignment="1" applyProtection="1">
      <alignment horizontal="left"/>
    </xf>
    <xf numFmtId="0" fontId="46" fillId="0" borderId="61" xfId="0" applyFont="1" applyFill="1" applyBorder="1" applyAlignment="1" applyProtection="1">
      <alignment horizontal="center"/>
    </xf>
    <xf numFmtId="0" fontId="46" fillId="0" borderId="60" xfId="0" applyFont="1" applyFill="1" applyBorder="1" applyProtection="1"/>
    <xf numFmtId="0" fontId="68" fillId="0" borderId="60" xfId="0" applyFont="1" applyFill="1" applyBorder="1" applyAlignment="1" applyProtection="1">
      <alignment horizontal="right"/>
    </xf>
    <xf numFmtId="0" fontId="6" fillId="0" borderId="54" xfId="0" applyFont="1" applyFill="1" applyBorder="1" applyProtection="1"/>
    <xf numFmtId="0" fontId="6" fillId="0" borderId="56" xfId="0" applyFont="1" applyFill="1" applyBorder="1" applyProtection="1"/>
    <xf numFmtId="49" fontId="13" fillId="0" borderId="56" xfId="0" applyNumberFormat="1" applyFont="1" applyFill="1" applyBorder="1" applyAlignment="1" applyProtection="1">
      <alignment horizontal="center"/>
    </xf>
    <xf numFmtId="170" fontId="7" fillId="0" borderId="56" xfId="0" applyNumberFormat="1" applyFont="1" applyFill="1" applyBorder="1" applyProtection="1"/>
    <xf numFmtId="0" fontId="6" fillId="0" borderId="59" xfId="0" applyFont="1" applyFill="1" applyBorder="1" applyProtection="1"/>
    <xf numFmtId="0" fontId="6" fillId="0" borderId="57" xfId="0" applyFont="1" applyFill="1" applyBorder="1" applyProtection="1"/>
    <xf numFmtId="0" fontId="15" fillId="0" borderId="58" xfId="0" applyFont="1" applyFill="1" applyBorder="1" applyAlignment="1" applyProtection="1">
      <alignment horizontal="left"/>
    </xf>
    <xf numFmtId="0" fontId="6" fillId="0" borderId="58" xfId="0" applyFont="1" applyFill="1" applyBorder="1" applyProtection="1"/>
    <xf numFmtId="0" fontId="6" fillId="0" borderId="58" xfId="0" applyFont="1" applyFill="1" applyBorder="1" applyAlignment="1" applyProtection="1">
      <alignment horizontal="center"/>
    </xf>
    <xf numFmtId="170" fontId="6" fillId="0" borderId="58" xfId="0" applyNumberFormat="1" applyFont="1" applyFill="1" applyBorder="1" applyProtection="1"/>
    <xf numFmtId="0" fontId="11" fillId="9" borderId="0" xfId="0" applyFont="1" applyFill="1" applyProtection="1"/>
    <xf numFmtId="0" fontId="11" fillId="9" borderId="0" xfId="0" applyFont="1" applyFill="1" applyBorder="1" applyAlignment="1" applyProtection="1">
      <alignment horizontal="center"/>
    </xf>
    <xf numFmtId="0" fontId="46" fillId="9" borderId="0" xfId="0" applyFont="1" applyFill="1" applyBorder="1" applyProtection="1"/>
    <xf numFmtId="164" fontId="11" fillId="9" borderId="0" xfId="0" applyNumberFormat="1" applyFont="1" applyFill="1" applyBorder="1" applyAlignment="1" applyProtection="1">
      <alignment horizontal="center"/>
    </xf>
    <xf numFmtId="0" fontId="65" fillId="0" borderId="0" xfId="0" applyFont="1" applyFill="1" applyBorder="1" applyProtection="1"/>
    <xf numFmtId="0" fontId="67" fillId="0" borderId="0" xfId="0" applyFont="1" applyFill="1" applyBorder="1" applyAlignment="1" applyProtection="1">
      <alignment horizontal="center"/>
    </xf>
    <xf numFmtId="0" fontId="68" fillId="0" borderId="0" xfId="0" applyFont="1" applyFill="1" applyBorder="1" applyProtection="1"/>
    <xf numFmtId="164" fontId="66" fillId="0" borderId="0" xfId="0" applyNumberFormat="1" applyFont="1" applyFill="1" applyBorder="1" applyAlignment="1" applyProtection="1">
      <alignment horizontal="center"/>
    </xf>
    <xf numFmtId="164" fontId="66" fillId="0" borderId="0" xfId="0" applyNumberFormat="1" applyFont="1" applyFill="1" applyBorder="1" applyProtection="1"/>
    <xf numFmtId="0" fontId="99" fillId="0" borderId="0" xfId="0" applyFont="1" applyFill="1" applyBorder="1" applyProtection="1"/>
    <xf numFmtId="164" fontId="99" fillId="0" borderId="0" xfId="0" applyNumberFormat="1" applyFont="1" applyFill="1" applyBorder="1" applyAlignment="1" applyProtection="1">
      <alignment horizontal="center"/>
    </xf>
    <xf numFmtId="164" fontId="64" fillId="0" borderId="0" xfId="0" applyNumberFormat="1" applyFont="1" applyFill="1" applyBorder="1" applyAlignment="1" applyProtection="1">
      <alignment horizontal="center"/>
    </xf>
    <xf numFmtId="0" fontId="116" fillId="0" borderId="0" xfId="0" applyFont="1" applyFill="1" applyBorder="1" applyProtection="1"/>
    <xf numFmtId="164" fontId="116" fillId="0" borderId="0" xfId="0" applyNumberFormat="1" applyFont="1" applyFill="1" applyBorder="1" applyProtection="1"/>
    <xf numFmtId="164" fontId="115" fillId="0" borderId="0" xfId="0" applyNumberFormat="1" applyFont="1" applyFill="1" applyBorder="1" applyProtection="1"/>
    <xf numFmtId="0" fontId="11" fillId="0" borderId="52" xfId="0" applyFont="1" applyFill="1" applyBorder="1" applyProtection="1"/>
    <xf numFmtId="0" fontId="11" fillId="0" borderId="53" xfId="0" applyFont="1" applyFill="1" applyBorder="1" applyProtection="1"/>
    <xf numFmtId="0" fontId="11" fillId="0" borderId="53" xfId="0" applyFont="1" applyFill="1" applyBorder="1" applyAlignment="1" applyProtection="1">
      <alignment horizontal="center"/>
    </xf>
    <xf numFmtId="0" fontId="11" fillId="11" borderId="54" xfId="0" applyFont="1" applyFill="1" applyBorder="1" applyProtection="1"/>
    <xf numFmtId="0" fontId="11" fillId="0" borderId="55" xfId="0" applyFont="1" applyFill="1" applyBorder="1" applyProtection="1"/>
    <xf numFmtId="0" fontId="11" fillId="11" borderId="56" xfId="0" applyFont="1" applyFill="1" applyBorder="1" applyProtection="1"/>
    <xf numFmtId="0" fontId="46" fillId="11" borderId="56" xfId="0" applyFont="1" applyFill="1" applyBorder="1" applyProtection="1"/>
    <xf numFmtId="0" fontId="11" fillId="11" borderId="56" xfId="0" applyFont="1" applyFill="1" applyBorder="1" applyAlignment="1" applyProtection="1">
      <alignment horizontal="center"/>
    </xf>
    <xf numFmtId="0" fontId="6" fillId="9" borderId="1" xfId="0" applyFont="1" applyFill="1" applyBorder="1" applyAlignment="1" applyProtection="1">
      <alignment horizontal="center"/>
      <protection locked="0"/>
    </xf>
    <xf numFmtId="0" fontId="89" fillId="0" borderId="0" xfId="0" applyFont="1" applyBorder="1" applyProtection="1">
      <protection locked="0"/>
    </xf>
    <xf numFmtId="0" fontId="13" fillId="9" borderId="0" xfId="0" applyFont="1" applyFill="1" applyBorder="1" applyAlignment="1" applyProtection="1">
      <alignment horizontal="left"/>
    </xf>
    <xf numFmtId="0" fontId="13" fillId="9" borderId="0" xfId="0" applyFont="1" applyFill="1" applyBorder="1" applyAlignment="1" applyProtection="1"/>
    <xf numFmtId="0" fontId="13" fillId="9" borderId="0" xfId="0" applyFont="1" applyFill="1" applyBorder="1" applyAlignment="1" applyProtection="1">
      <alignment horizontal="center"/>
    </xf>
    <xf numFmtId="0" fontId="6" fillId="9" borderId="0" xfId="0" applyFont="1" applyFill="1" applyBorder="1" applyAlignment="1" applyProtection="1">
      <alignment horizontal="left"/>
    </xf>
    <xf numFmtId="164" fontId="6" fillId="9" borderId="0"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6" fillId="2" borderId="24" xfId="0" applyFont="1" applyFill="1" applyBorder="1" applyProtection="1"/>
    <xf numFmtId="0" fontId="6" fillId="2" borderId="24" xfId="0" applyFont="1" applyFill="1" applyBorder="1" applyAlignment="1" applyProtection="1">
      <alignment horizontal="left"/>
    </xf>
    <xf numFmtId="0" fontId="6" fillId="2" borderId="24" xfId="0" applyFont="1" applyFill="1" applyBorder="1" applyAlignment="1" applyProtection="1"/>
    <xf numFmtId="0" fontId="6" fillId="2" borderId="24" xfId="0" applyFont="1" applyFill="1" applyBorder="1" applyAlignment="1" applyProtection="1">
      <alignment horizontal="center"/>
    </xf>
    <xf numFmtId="0" fontId="14" fillId="2" borderId="43" xfId="0" applyFont="1" applyFill="1" applyBorder="1" applyProtection="1"/>
    <xf numFmtId="0" fontId="7" fillId="2" borderId="43" xfId="0" applyFont="1" applyFill="1" applyBorder="1" applyProtection="1"/>
    <xf numFmtId="0" fontId="15" fillId="2" borderId="43" xfId="0" applyFont="1" applyFill="1" applyBorder="1" applyProtection="1"/>
    <xf numFmtId="0" fontId="13" fillId="2" borderId="43" xfId="0" applyFont="1" applyFill="1" applyBorder="1" applyAlignment="1" applyProtection="1">
      <alignment horizontal="center"/>
    </xf>
    <xf numFmtId="0" fontId="6" fillId="2" borderId="43" xfId="0" applyFont="1" applyFill="1" applyBorder="1" applyAlignment="1" applyProtection="1">
      <alignment horizontal="center"/>
    </xf>
    <xf numFmtId="0" fontId="89" fillId="0" borderId="0" xfId="0" applyFont="1" applyAlignment="1" applyProtection="1">
      <alignment horizontal="center"/>
      <protection locked="0"/>
    </xf>
    <xf numFmtId="0" fontId="6" fillId="9" borderId="1" xfId="0" applyFont="1" applyFill="1" applyBorder="1" applyAlignment="1" applyProtection="1">
      <alignment horizontal="left"/>
    </xf>
    <xf numFmtId="0" fontId="6" fillId="9" borderId="1" xfId="0" applyFont="1" applyFill="1" applyBorder="1" applyAlignment="1" applyProtection="1"/>
    <xf numFmtId="164" fontId="6" fillId="9" borderId="1" xfId="0" applyNumberFormat="1" applyFont="1" applyFill="1" applyBorder="1" applyAlignment="1" applyProtection="1"/>
    <xf numFmtId="0" fontId="6" fillId="9" borderId="12" xfId="0" applyFont="1" applyFill="1" applyBorder="1" applyAlignment="1" applyProtection="1">
      <alignment horizontal="center"/>
    </xf>
    <xf numFmtId="0" fontId="13" fillId="2" borderId="43" xfId="0" applyFont="1" applyFill="1" applyBorder="1" applyProtection="1"/>
    <xf numFmtId="0" fontId="13" fillId="3" borderId="11" xfId="0" applyFont="1" applyFill="1" applyBorder="1" applyProtection="1"/>
    <xf numFmtId="0" fontId="13" fillId="3" borderId="1" xfId="0" applyFont="1" applyFill="1" applyBorder="1" applyAlignment="1" applyProtection="1"/>
    <xf numFmtId="164" fontId="41" fillId="4" borderId="1" xfId="0" applyNumberFormat="1" applyFont="1" applyFill="1" applyBorder="1" applyProtection="1"/>
    <xf numFmtId="164" fontId="41" fillId="4" borderId="1" xfId="0" applyNumberFormat="1" applyFont="1" applyFill="1" applyBorder="1" applyAlignment="1" applyProtection="1"/>
    <xf numFmtId="0" fontId="13" fillId="3" borderId="12" xfId="0" applyFont="1" applyFill="1" applyBorder="1" applyProtection="1"/>
    <xf numFmtId="1" fontId="39" fillId="2" borderId="0" xfId="0" applyNumberFormat="1" applyFont="1" applyFill="1" applyBorder="1" applyAlignment="1" applyProtection="1">
      <alignment horizontal="left"/>
    </xf>
    <xf numFmtId="0" fontId="89" fillId="9" borderId="0" xfId="0" applyFont="1" applyFill="1" applyAlignment="1" applyProtection="1">
      <alignment horizontal="center"/>
      <protection locked="0"/>
    </xf>
    <xf numFmtId="0" fontId="89" fillId="9" borderId="1" xfId="0" applyFont="1" applyFill="1" applyBorder="1" applyAlignment="1" applyProtection="1">
      <alignment horizontal="center"/>
      <protection locked="0"/>
    </xf>
    <xf numFmtId="0" fontId="6" fillId="3" borderId="13" xfId="0" applyFont="1" applyFill="1" applyBorder="1" applyAlignment="1" applyProtection="1">
      <alignment horizontal="center"/>
    </xf>
    <xf numFmtId="0" fontId="6" fillId="2" borderId="14" xfId="0" applyFont="1" applyFill="1" applyBorder="1" applyAlignment="1" applyProtection="1">
      <alignment horizontal="left"/>
      <protection locked="0"/>
    </xf>
    <xf numFmtId="0" fontId="6" fillId="2" borderId="15" xfId="0" applyFont="1" applyFill="1" applyBorder="1" applyAlignment="1" applyProtection="1">
      <protection locked="0"/>
    </xf>
    <xf numFmtId="0" fontId="6" fillId="2" borderId="1" xfId="0" applyFont="1" applyFill="1" applyBorder="1" applyAlignment="1" applyProtection="1">
      <protection locked="0"/>
    </xf>
    <xf numFmtId="0" fontId="89" fillId="0" borderId="1" xfId="0" applyFont="1" applyBorder="1" applyProtection="1">
      <protection locked="0"/>
    </xf>
    <xf numFmtId="0" fontId="6" fillId="2" borderId="27" xfId="0" applyFont="1" applyFill="1" applyBorder="1" applyAlignment="1" applyProtection="1">
      <alignment horizontal="left"/>
    </xf>
    <xf numFmtId="0" fontId="6" fillId="2" borderId="27" xfId="0" applyFont="1" applyFill="1" applyBorder="1" applyAlignment="1" applyProtection="1"/>
    <xf numFmtId="0" fontId="54" fillId="2" borderId="6" xfId="0" applyFont="1" applyFill="1" applyBorder="1" applyAlignment="1" applyProtection="1">
      <alignment horizontal="center"/>
    </xf>
    <xf numFmtId="0" fontId="6" fillId="11" borderId="27" xfId="0" applyFont="1" applyFill="1" applyBorder="1" applyProtection="1"/>
    <xf numFmtId="0" fontId="6" fillId="9" borderId="43" xfId="0" applyFont="1" applyFill="1" applyBorder="1" applyAlignment="1" applyProtection="1">
      <alignment horizontal="center"/>
    </xf>
    <xf numFmtId="0" fontId="89" fillId="7" borderId="0" xfId="0" applyFont="1" applyFill="1" applyProtection="1">
      <protection locked="0"/>
    </xf>
    <xf numFmtId="0" fontId="6" fillId="11" borderId="24" xfId="0" applyFont="1" applyFill="1" applyBorder="1" applyAlignment="1" applyProtection="1">
      <alignment horizontal="left"/>
    </xf>
    <xf numFmtId="0" fontId="6" fillId="11" borderId="24" xfId="0" applyFont="1" applyFill="1" applyBorder="1" applyAlignment="1" applyProtection="1">
      <alignment horizontal="center"/>
    </xf>
    <xf numFmtId="0" fontId="6" fillId="11" borderId="26" xfId="0" applyFont="1" applyFill="1" applyBorder="1" applyProtection="1"/>
    <xf numFmtId="0" fontId="6" fillId="11" borderId="27" xfId="0" applyFont="1" applyFill="1" applyBorder="1" applyAlignment="1" applyProtection="1">
      <alignment horizontal="left"/>
    </xf>
    <xf numFmtId="0" fontId="6" fillId="11" borderId="27" xfId="0" applyFont="1" applyFill="1" applyBorder="1" applyAlignment="1" applyProtection="1"/>
    <xf numFmtId="0" fontId="6" fillId="11" borderId="27" xfId="0" applyFont="1" applyFill="1" applyBorder="1" applyAlignment="1" applyProtection="1">
      <alignment horizontal="center"/>
    </xf>
    <xf numFmtId="0" fontId="6" fillId="11" borderId="28" xfId="0" applyFont="1" applyFill="1" applyBorder="1" applyProtection="1"/>
    <xf numFmtId="42" fontId="6" fillId="7" borderId="22" xfId="0" applyNumberFormat="1" applyFont="1" applyFill="1" applyBorder="1" applyProtection="1"/>
    <xf numFmtId="0" fontId="6" fillId="11" borderId="6" xfId="0" applyFont="1" applyFill="1" applyBorder="1" applyAlignment="1" applyProtection="1">
      <alignment horizontal="center"/>
    </xf>
    <xf numFmtId="42" fontId="6" fillId="7" borderId="65" xfId="0" applyNumberFormat="1" applyFont="1" applyFill="1" applyBorder="1" applyProtection="1"/>
    <xf numFmtId="0" fontId="39" fillId="8" borderId="66" xfId="0" applyFont="1" applyFill="1" applyBorder="1" applyAlignment="1" applyProtection="1">
      <alignment horizontal="center"/>
    </xf>
    <xf numFmtId="0" fontId="55" fillId="2" borderId="67" xfId="0" applyFont="1" applyFill="1" applyBorder="1" applyAlignment="1" applyProtection="1">
      <alignment horizontal="center"/>
    </xf>
    <xf numFmtId="0" fontId="39" fillId="8" borderId="63" xfId="0" applyFont="1" applyFill="1" applyBorder="1" applyAlignment="1" applyProtection="1">
      <alignment horizontal="center"/>
    </xf>
    <xf numFmtId="0" fontId="53" fillId="2" borderId="6" xfId="0" applyFont="1" applyFill="1" applyBorder="1" applyProtection="1"/>
    <xf numFmtId="0" fontId="54" fillId="2" borderId="6" xfId="0" applyFont="1" applyFill="1" applyBorder="1" applyProtection="1"/>
    <xf numFmtId="164" fontId="41" fillId="10" borderId="0" xfId="0" applyNumberFormat="1" applyFont="1" applyFill="1" applyBorder="1" applyProtection="1"/>
    <xf numFmtId="186" fontId="90" fillId="6" borderId="21" xfId="0" applyNumberFormat="1" applyFont="1" applyFill="1" applyBorder="1" applyAlignment="1" applyProtection="1">
      <alignment horizontal="right"/>
    </xf>
    <xf numFmtId="186" fontId="6" fillId="2" borderId="1" xfId="0" applyNumberFormat="1" applyFont="1" applyFill="1" applyBorder="1" applyAlignment="1" applyProtection="1">
      <alignment horizontal="right"/>
      <protection locked="0"/>
    </xf>
    <xf numFmtId="186" fontId="6" fillId="0" borderId="1" xfId="0" applyNumberFormat="1" applyFont="1" applyFill="1" applyBorder="1" applyAlignment="1" applyProtection="1">
      <alignment horizontal="right"/>
      <protection locked="0"/>
    </xf>
    <xf numFmtId="186" fontId="6" fillId="2" borderId="14" xfId="0" applyNumberFormat="1" applyFont="1" applyFill="1" applyBorder="1" applyAlignment="1" applyProtection="1">
      <alignment horizontal="right"/>
      <protection locked="0"/>
    </xf>
    <xf numFmtId="186" fontId="6" fillId="0" borderId="14" xfId="0" applyNumberFormat="1" applyFont="1" applyFill="1" applyBorder="1" applyAlignment="1" applyProtection="1">
      <alignment horizontal="right"/>
      <protection locked="0"/>
    </xf>
    <xf numFmtId="186" fontId="41" fillId="10" borderId="0" xfId="0" applyNumberFormat="1" applyFont="1" applyFill="1" applyBorder="1" applyAlignment="1" applyProtection="1">
      <alignment horizontal="right"/>
    </xf>
    <xf numFmtId="0" fontId="79" fillId="3" borderId="1" xfId="0" applyFont="1" applyFill="1" applyBorder="1" applyProtection="1"/>
    <xf numFmtId="186" fontId="90" fillId="6" borderId="21" xfId="0" applyNumberFormat="1" applyFont="1" applyFill="1" applyBorder="1" applyAlignment="1" applyProtection="1">
      <alignment horizontal="center"/>
    </xf>
    <xf numFmtId="0" fontId="11" fillId="11" borderId="1" xfId="0" applyFont="1" applyFill="1" applyBorder="1" applyAlignment="1" applyProtection="1">
      <alignment horizontal="center"/>
      <protection locked="0"/>
    </xf>
    <xf numFmtId="0" fontId="0" fillId="9" borderId="0" xfId="0" applyFill="1" applyProtection="1"/>
    <xf numFmtId="42" fontId="89" fillId="7" borderId="1" xfId="0" applyNumberFormat="1" applyFont="1" applyFill="1" applyBorder="1" applyProtection="1"/>
    <xf numFmtId="0" fontId="106" fillId="9" borderId="0" xfId="0" applyFont="1" applyFill="1" applyBorder="1" applyAlignment="1" applyProtection="1">
      <alignment horizontal="center"/>
    </xf>
    <xf numFmtId="1" fontId="106" fillId="11" borderId="0" xfId="0" applyNumberFormat="1" applyFont="1" applyFill="1" applyAlignment="1" applyProtection="1">
      <alignment horizontal="center"/>
    </xf>
    <xf numFmtId="1" fontId="104" fillId="0" borderId="34" xfId="0" applyNumberFormat="1" applyFont="1" applyBorder="1" applyProtection="1"/>
    <xf numFmtId="0" fontId="92" fillId="9" borderId="0" xfId="0" applyFont="1" applyFill="1" applyBorder="1" applyAlignment="1" applyProtection="1">
      <alignment horizontal="left"/>
    </xf>
    <xf numFmtId="0" fontId="7" fillId="9" borderId="42" xfId="0" applyFont="1" applyFill="1" applyBorder="1" applyAlignment="1" applyProtection="1">
      <alignment horizontal="left"/>
    </xf>
    <xf numFmtId="0" fontId="6" fillId="9" borderId="64" xfId="0" applyFont="1" applyFill="1" applyBorder="1" applyAlignment="1" applyProtection="1"/>
    <xf numFmtId="0" fontId="6" fillId="9" borderId="64" xfId="0" applyFont="1" applyFill="1" applyBorder="1" applyAlignment="1" applyProtection="1">
      <alignment horizontal="center"/>
    </xf>
    <xf numFmtId="0" fontId="6" fillId="9" borderId="42" xfId="0" applyFont="1" applyFill="1" applyBorder="1" applyAlignment="1" applyProtection="1">
      <alignment horizontal="left"/>
    </xf>
    <xf numFmtId="1" fontId="93" fillId="9" borderId="65" xfId="0" applyNumberFormat="1" applyFont="1" applyFill="1" applyBorder="1" applyProtection="1"/>
    <xf numFmtId="1" fontId="93" fillId="11" borderId="34" xfId="0" applyNumberFormat="1" applyFont="1" applyFill="1" applyBorder="1" applyProtection="1"/>
    <xf numFmtId="164" fontId="6" fillId="11" borderId="6" xfId="0" applyNumberFormat="1" applyFont="1" applyFill="1" applyBorder="1" applyAlignment="1" applyProtection="1">
      <alignment horizontal="center"/>
    </xf>
    <xf numFmtId="164" fontId="41" fillId="11" borderId="6" xfId="0" applyNumberFormat="1" applyFont="1" applyFill="1" applyBorder="1" applyAlignment="1" applyProtection="1"/>
    <xf numFmtId="42" fontId="90" fillId="11" borderId="6" xfId="0" applyNumberFormat="1" applyFont="1" applyFill="1" applyBorder="1" applyAlignment="1" applyProtection="1">
      <alignment horizontal="center"/>
    </xf>
    <xf numFmtId="0" fontId="7" fillId="9" borderId="0" xfId="0" applyFont="1" applyFill="1" applyBorder="1" applyAlignment="1" applyProtection="1">
      <alignment horizontal="center"/>
    </xf>
    <xf numFmtId="0" fontId="108" fillId="11" borderId="44" xfId="0" applyFont="1" applyFill="1" applyBorder="1" applyProtection="1"/>
    <xf numFmtId="164" fontId="109" fillId="11" borderId="44" xfId="0" applyNumberFormat="1" applyFont="1" applyFill="1" applyBorder="1" applyAlignment="1" applyProtection="1"/>
    <xf numFmtId="0" fontId="107" fillId="11" borderId="68" xfId="0" applyFont="1" applyFill="1" applyBorder="1" applyProtection="1"/>
    <xf numFmtId="0" fontId="107" fillId="11" borderId="69" xfId="0" applyFont="1" applyFill="1" applyBorder="1" applyProtection="1"/>
    <xf numFmtId="0" fontId="108" fillId="11" borderId="69" xfId="0" applyFont="1" applyFill="1" applyBorder="1" applyProtection="1"/>
    <xf numFmtId="164" fontId="109" fillId="11" borderId="69" xfId="0" applyNumberFormat="1" applyFont="1" applyFill="1" applyBorder="1" applyAlignment="1" applyProtection="1"/>
    <xf numFmtId="0" fontId="107" fillId="11" borderId="70" xfId="0" applyFont="1" applyFill="1" applyBorder="1" applyProtection="1"/>
    <xf numFmtId="0" fontId="107" fillId="11" borderId="71" xfId="0" applyFont="1" applyFill="1" applyBorder="1" applyProtection="1"/>
    <xf numFmtId="0" fontId="107" fillId="11" borderId="72" xfId="0" applyFont="1" applyFill="1" applyBorder="1" applyProtection="1"/>
    <xf numFmtId="0" fontId="107" fillId="11" borderId="73" xfId="0" applyFont="1" applyFill="1" applyBorder="1" applyProtection="1"/>
    <xf numFmtId="0" fontId="107" fillId="11" borderId="74" xfId="0" applyFont="1" applyFill="1" applyBorder="1" applyProtection="1"/>
    <xf numFmtId="0" fontId="108" fillId="11" borderId="74" xfId="0" applyFont="1" applyFill="1" applyBorder="1" applyProtection="1"/>
    <xf numFmtId="164" fontId="109" fillId="11" borderId="74" xfId="0" applyNumberFormat="1" applyFont="1" applyFill="1" applyBorder="1" applyAlignment="1" applyProtection="1"/>
    <xf numFmtId="0" fontId="107" fillId="11" borderId="75" xfId="0" applyFont="1" applyFill="1" applyBorder="1" applyProtection="1"/>
    <xf numFmtId="0" fontId="6" fillId="0" borderId="0" xfId="0" applyFont="1" applyBorder="1"/>
    <xf numFmtId="0" fontId="0" fillId="0" borderId="0" xfId="0" applyBorder="1"/>
    <xf numFmtId="0" fontId="103" fillId="0" borderId="0" xfId="0" applyFont="1" applyBorder="1"/>
    <xf numFmtId="0" fontId="103" fillId="0" borderId="0" xfId="0" applyFont="1" applyFill="1" applyBorder="1" applyAlignment="1" applyProtection="1">
      <alignment horizontal="left"/>
    </xf>
    <xf numFmtId="0" fontId="6" fillId="11" borderId="39" xfId="0" applyFont="1" applyFill="1" applyBorder="1" applyAlignment="1" applyProtection="1">
      <alignment horizontal="center"/>
    </xf>
    <xf numFmtId="0" fontId="88" fillId="9" borderId="0" xfId="0" applyFont="1" applyFill="1" applyBorder="1" applyAlignment="1" applyProtection="1">
      <alignment horizontal="center"/>
    </xf>
    <xf numFmtId="0" fontId="15" fillId="9" borderId="0" xfId="0" applyFont="1" applyFill="1" applyBorder="1" applyAlignment="1" applyProtection="1">
      <alignment horizontal="center"/>
    </xf>
    <xf numFmtId="42" fontId="89" fillId="7" borderId="0" xfId="0" applyNumberFormat="1" applyFont="1" applyFill="1" applyBorder="1" applyProtection="1"/>
    <xf numFmtId="164" fontId="96" fillId="10" borderId="9" xfId="0" applyNumberFormat="1" applyFont="1" applyFill="1" applyBorder="1" applyAlignment="1" applyProtection="1">
      <alignment horizontal="center"/>
    </xf>
    <xf numFmtId="1" fontId="68" fillId="0" borderId="45" xfId="0" applyNumberFormat="1" applyFont="1" applyFill="1" applyBorder="1" applyAlignment="1" applyProtection="1">
      <alignment horizontal="center"/>
    </xf>
    <xf numFmtId="170" fontId="46" fillId="0" borderId="45" xfId="0" applyNumberFormat="1" applyFont="1" applyFill="1" applyBorder="1" applyProtection="1"/>
    <xf numFmtId="164" fontId="34" fillId="9" borderId="9" xfId="0" applyNumberFormat="1" applyFont="1" applyFill="1" applyBorder="1" applyAlignment="1" applyProtection="1">
      <alignment horizontal="center"/>
    </xf>
    <xf numFmtId="42" fontId="113" fillId="10" borderId="1" xfId="0" applyNumberFormat="1" applyFont="1" applyFill="1" applyBorder="1" applyProtection="1"/>
    <xf numFmtId="0" fontId="6" fillId="3" borderId="20" xfId="0" applyFont="1" applyFill="1" applyBorder="1" applyAlignment="1" applyProtection="1">
      <alignment horizontal="center"/>
    </xf>
    <xf numFmtId="0" fontId="7" fillId="3" borderId="20" xfId="0" applyFont="1" applyFill="1" applyBorder="1" applyProtection="1"/>
    <xf numFmtId="0" fontId="6" fillId="3" borderId="20" xfId="0" applyFont="1" applyFill="1" applyBorder="1" applyProtection="1"/>
    <xf numFmtId="42" fontId="119" fillId="14" borderId="22" xfId="0" applyNumberFormat="1" applyFont="1" applyFill="1" applyBorder="1" applyProtection="1"/>
    <xf numFmtId="42" fontId="88" fillId="14" borderId="22" xfId="0" applyNumberFormat="1" applyFont="1" applyFill="1" applyBorder="1" applyProtection="1"/>
    <xf numFmtId="44" fontId="88" fillId="14" borderId="22" xfId="0" applyNumberFormat="1" applyFont="1" applyFill="1" applyBorder="1" applyProtection="1"/>
    <xf numFmtId="0" fontId="117" fillId="3" borderId="1" xfId="0" applyFont="1" applyFill="1" applyBorder="1" applyAlignment="1" applyProtection="1">
      <alignment horizontal="left"/>
    </xf>
    <xf numFmtId="10" fontId="89" fillId="0" borderId="0" xfId="0" applyNumberFormat="1" applyFont="1" applyProtection="1"/>
    <xf numFmtId="177" fontId="89" fillId="0" borderId="0" xfId="0" applyNumberFormat="1" applyFont="1" applyProtection="1"/>
    <xf numFmtId="0" fontId="89" fillId="0" borderId="0" xfId="0" applyFont="1" applyAlignment="1" applyProtection="1">
      <alignment horizontal="center"/>
    </xf>
    <xf numFmtId="0" fontId="6" fillId="2" borderId="76" xfId="0" applyNumberFormat="1" applyFont="1" applyFill="1" applyBorder="1" applyProtection="1">
      <protection locked="0"/>
    </xf>
    <xf numFmtId="0" fontId="11" fillId="0" borderId="77" xfId="0" applyFont="1" applyFill="1" applyBorder="1" applyProtection="1">
      <protection locked="0"/>
    </xf>
    <xf numFmtId="44" fontId="43" fillId="9" borderId="1" xfId="0" applyNumberFormat="1" applyFont="1" applyFill="1" applyBorder="1" applyAlignment="1" applyProtection="1"/>
    <xf numFmtId="44" fontId="43" fillId="9" borderId="14" xfId="0" applyNumberFormat="1" applyFont="1" applyFill="1" applyBorder="1" applyAlignment="1" applyProtection="1"/>
    <xf numFmtId="44" fontId="43" fillId="4" borderId="14" xfId="0" applyNumberFormat="1" applyFont="1" applyFill="1" applyBorder="1" applyAlignment="1" applyProtection="1"/>
    <xf numFmtId="0" fontId="7" fillId="3" borderId="1" xfId="0" applyFont="1" applyFill="1" applyBorder="1" applyAlignment="1" applyProtection="1">
      <alignment horizontal="right"/>
    </xf>
    <xf numFmtId="0" fontId="11" fillId="3" borderId="30" xfId="0" applyFont="1" applyFill="1" applyBorder="1" applyProtection="1"/>
    <xf numFmtId="0" fontId="11" fillId="3" borderId="78" xfId="0" applyFont="1" applyFill="1" applyBorder="1" applyProtection="1"/>
    <xf numFmtId="0" fontId="10" fillId="3" borderId="1" xfId="0" applyFont="1" applyFill="1" applyBorder="1" applyProtection="1"/>
    <xf numFmtId="164" fontId="43" fillId="9" borderId="1" xfId="0" applyNumberFormat="1" applyFont="1" applyFill="1" applyBorder="1" applyAlignment="1" applyProtection="1">
      <alignment horizontal="center"/>
    </xf>
    <xf numFmtId="0" fontId="11" fillId="9" borderId="1" xfId="0" applyFont="1" applyFill="1" applyBorder="1" applyProtection="1"/>
    <xf numFmtId="166" fontId="6" fillId="9" borderId="1" xfId="0" applyNumberFormat="1" applyFont="1" applyFill="1" applyBorder="1" applyProtection="1"/>
    <xf numFmtId="164" fontId="63" fillId="9" borderId="1" xfId="0" applyNumberFormat="1" applyFont="1" applyFill="1" applyBorder="1" applyAlignment="1" applyProtection="1">
      <alignment horizontal="center"/>
    </xf>
    <xf numFmtId="0" fontId="61" fillId="3" borderId="12" xfId="0" applyFont="1" applyFill="1" applyBorder="1" applyAlignment="1" applyProtection="1">
      <alignment horizontal="left"/>
    </xf>
    <xf numFmtId="0" fontId="61" fillId="3" borderId="29" xfId="0" applyFont="1" applyFill="1" applyBorder="1" applyAlignment="1" applyProtection="1">
      <alignment horizontal="left"/>
    </xf>
    <xf numFmtId="0" fontId="61" fillId="3" borderId="1" xfId="0" applyFont="1" applyFill="1" applyBorder="1" applyAlignment="1" applyProtection="1">
      <alignment horizontal="left"/>
    </xf>
    <xf numFmtId="0" fontId="72" fillId="3" borderId="1" xfId="0" applyFont="1" applyFill="1" applyBorder="1" applyAlignment="1" applyProtection="1">
      <alignment horizontal="left"/>
    </xf>
    <xf numFmtId="0" fontId="89" fillId="0" borderId="0" xfId="0" applyFont="1" applyFill="1" applyAlignment="1" applyProtection="1">
      <alignment horizontal="left"/>
    </xf>
    <xf numFmtId="0" fontId="25" fillId="2" borderId="5" xfId="0" applyFont="1" applyFill="1" applyBorder="1" applyAlignment="1" applyProtection="1"/>
    <xf numFmtId="0" fontId="25" fillId="3" borderId="1" xfId="0" applyFont="1" applyFill="1" applyBorder="1" applyAlignment="1" applyProtection="1"/>
    <xf numFmtId="0" fontId="25" fillId="3" borderId="0" xfId="0" applyFont="1" applyFill="1" applyBorder="1" applyAlignment="1" applyProtection="1"/>
    <xf numFmtId="169" fontId="11" fillId="9" borderId="0" xfId="0" applyNumberFormat="1" applyFont="1" applyFill="1" applyBorder="1" applyProtection="1"/>
    <xf numFmtId="169" fontId="73" fillId="9" borderId="1" xfId="0" applyNumberFormat="1" applyFont="1" applyFill="1" applyBorder="1" applyAlignment="1" applyProtection="1">
      <alignment horizontal="center"/>
    </xf>
    <xf numFmtId="169" fontId="11" fillId="9" borderId="0" xfId="0" applyNumberFormat="1" applyFont="1" applyFill="1" applyBorder="1" applyAlignment="1" applyProtection="1">
      <alignment horizontal="center"/>
    </xf>
    <xf numFmtId="0" fontId="72" fillId="9" borderId="1" xfId="0" applyFont="1" applyFill="1" applyBorder="1" applyAlignment="1" applyProtection="1">
      <alignment horizontal="left"/>
    </xf>
    <xf numFmtId="0" fontId="11" fillId="9" borderId="0" xfId="0" applyNumberFormat="1" applyFont="1" applyFill="1" applyBorder="1" applyAlignment="1" applyProtection="1">
      <alignment horizontal="center"/>
    </xf>
    <xf numFmtId="0" fontId="11" fillId="9" borderId="1" xfId="0" applyNumberFormat="1" applyFont="1" applyFill="1" applyBorder="1" applyAlignment="1" applyProtection="1">
      <alignment horizontal="center"/>
    </xf>
    <xf numFmtId="1" fontId="59" fillId="9" borderId="1" xfId="0" applyNumberFormat="1" applyFont="1" applyFill="1" applyBorder="1" applyAlignment="1" applyProtection="1">
      <alignment horizontal="center"/>
    </xf>
    <xf numFmtId="1" fontId="15" fillId="9" borderId="1" xfId="0" applyNumberFormat="1" applyFont="1" applyFill="1" applyBorder="1" applyAlignment="1" applyProtection="1">
      <alignment horizontal="center"/>
    </xf>
    <xf numFmtId="169" fontId="11" fillId="9" borderId="1" xfId="0" applyNumberFormat="1" applyFont="1" applyFill="1" applyBorder="1" applyAlignment="1" applyProtection="1">
      <alignment horizontal="center"/>
      <protection locked="0"/>
    </xf>
    <xf numFmtId="169" fontId="6" fillId="9" borderId="1" xfId="0" applyNumberFormat="1" applyFont="1" applyFill="1" applyBorder="1" applyAlignment="1" applyProtection="1">
      <alignment horizontal="center"/>
      <protection locked="0"/>
    </xf>
    <xf numFmtId="0" fontId="12" fillId="9" borderId="0" xfId="0" applyNumberFormat="1" applyFont="1" applyFill="1" applyBorder="1" applyAlignment="1" applyProtection="1">
      <alignment horizontal="center"/>
    </xf>
    <xf numFmtId="0" fontId="61" fillId="9" borderId="29" xfId="0" applyFont="1" applyFill="1" applyBorder="1" applyAlignment="1" applyProtection="1">
      <alignment horizontal="left"/>
    </xf>
    <xf numFmtId="0" fontId="11" fillId="11" borderId="3" xfId="0" applyNumberFormat="1" applyFont="1" applyFill="1" applyBorder="1" applyAlignment="1" applyProtection="1">
      <alignment horizontal="center"/>
    </xf>
    <xf numFmtId="0" fontId="11" fillId="11" borderId="0" xfId="0" applyNumberFormat="1" applyFont="1" applyFill="1" applyBorder="1" applyAlignment="1" applyProtection="1">
      <alignment horizontal="center"/>
    </xf>
    <xf numFmtId="0" fontId="71" fillId="11" borderId="0" xfId="0" applyNumberFormat="1" applyFont="1" applyFill="1" applyBorder="1" applyAlignment="1" applyProtection="1">
      <alignment horizontal="center"/>
    </xf>
    <xf numFmtId="0" fontId="28" fillId="11" borderId="0" xfId="0" applyNumberFormat="1" applyFont="1" applyFill="1" applyBorder="1" applyAlignment="1" applyProtection="1">
      <alignment horizontal="center"/>
    </xf>
    <xf numFmtId="1" fontId="73" fillId="4" borderId="1" xfId="0" applyNumberFormat="1" applyFont="1" applyFill="1" applyBorder="1" applyAlignment="1" applyProtection="1">
      <alignment horizontal="center"/>
    </xf>
    <xf numFmtId="1" fontId="11" fillId="2" borderId="1" xfId="2" applyNumberFormat="1" applyFont="1" applyFill="1" applyBorder="1" applyAlignment="1" applyProtection="1">
      <alignment horizontal="center"/>
      <protection locked="0"/>
    </xf>
    <xf numFmtId="172" fontId="11" fillId="5" borderId="1" xfId="3" applyNumberFormat="1" applyFont="1" applyFill="1" applyBorder="1" applyProtection="1"/>
    <xf numFmtId="0" fontId="11" fillId="9" borderId="0" xfId="0" applyNumberFormat="1" applyFont="1" applyFill="1" applyProtection="1"/>
    <xf numFmtId="164" fontId="11" fillId="9" borderId="0" xfId="0" applyNumberFormat="1" applyFont="1" applyFill="1" applyProtection="1"/>
    <xf numFmtId="0" fontId="11" fillId="9" borderId="0" xfId="0" applyNumberFormat="1" applyFont="1" applyFill="1" applyBorder="1" applyProtection="1"/>
    <xf numFmtId="169" fontId="11" fillId="9" borderId="0" xfId="0" applyNumberFormat="1" applyFont="1" applyFill="1" applyAlignment="1" applyProtection="1">
      <alignment horizontal="center"/>
    </xf>
    <xf numFmtId="0" fontId="11" fillId="9" borderId="0" xfId="0" applyNumberFormat="1" applyFont="1" applyFill="1" applyAlignment="1" applyProtection="1">
      <alignment horizontal="center"/>
    </xf>
    <xf numFmtId="169" fontId="11" fillId="9" borderId="0" xfId="0" applyNumberFormat="1" applyFont="1" applyFill="1" applyProtection="1"/>
    <xf numFmtId="1" fontId="11" fillId="9" borderId="0" xfId="0" applyNumberFormat="1" applyFont="1" applyFill="1" applyProtection="1"/>
    <xf numFmtId="44" fontId="11" fillId="3" borderId="0" xfId="0" applyNumberFormat="1" applyFont="1" applyFill="1" applyBorder="1" applyProtection="1"/>
    <xf numFmtId="42" fontId="11" fillId="3" borderId="0" xfId="0" applyNumberFormat="1" applyFont="1" applyFill="1" applyBorder="1" applyProtection="1"/>
    <xf numFmtId="172" fontId="11" fillId="3" borderId="0" xfId="0" applyNumberFormat="1" applyFont="1" applyFill="1" applyBorder="1" applyProtection="1"/>
    <xf numFmtId="9" fontId="11" fillId="3" borderId="0" xfId="0" applyNumberFormat="1" applyFont="1" applyFill="1" applyBorder="1" applyProtection="1"/>
    <xf numFmtId="42" fontId="11" fillId="3" borderId="0" xfId="0" applyNumberFormat="1" applyFont="1" applyFill="1" applyBorder="1" applyAlignment="1" applyProtection="1">
      <alignment horizontal="center"/>
    </xf>
    <xf numFmtId="42" fontId="73" fillId="4" borderId="1" xfId="0" applyNumberFormat="1" applyFont="1" applyFill="1" applyBorder="1" applyAlignment="1" applyProtection="1">
      <alignment horizontal="center"/>
    </xf>
    <xf numFmtId="42" fontId="34" fillId="4" borderId="1" xfId="0" applyNumberFormat="1" applyFont="1" applyFill="1" applyBorder="1" applyAlignment="1" applyProtection="1">
      <alignment horizontal="center"/>
    </xf>
    <xf numFmtId="42" fontId="11" fillId="5" borderId="1" xfId="0" applyNumberFormat="1" applyFont="1" applyFill="1" applyBorder="1" applyAlignment="1" applyProtection="1">
      <alignment horizontal="center"/>
    </xf>
    <xf numFmtId="0" fontId="124" fillId="9" borderId="0" xfId="0" applyFont="1" applyFill="1" applyBorder="1" applyAlignment="1" applyProtection="1">
      <alignment horizontal="left"/>
    </xf>
    <xf numFmtId="0" fontId="125" fillId="9" borderId="0" xfId="0" applyFont="1" applyFill="1" applyBorder="1" applyAlignment="1" applyProtection="1">
      <alignment horizontal="left"/>
    </xf>
    <xf numFmtId="0" fontId="125" fillId="9" borderId="0" xfId="0" applyFont="1" applyFill="1" applyBorder="1" applyAlignment="1" applyProtection="1">
      <alignment horizontal="center"/>
    </xf>
    <xf numFmtId="1" fontId="124" fillId="9" borderId="0" xfId="0" applyNumberFormat="1" applyFont="1" applyFill="1" applyBorder="1" applyAlignment="1" applyProtection="1">
      <alignment horizontal="center"/>
    </xf>
    <xf numFmtId="0" fontId="124" fillId="9" borderId="0" xfId="0" applyFont="1" applyFill="1" applyBorder="1" applyAlignment="1" applyProtection="1">
      <alignment horizontal="center"/>
    </xf>
    <xf numFmtId="0" fontId="101" fillId="9" borderId="30" xfId="0" applyFont="1" applyFill="1" applyBorder="1" applyAlignment="1" applyProtection="1">
      <alignment horizontal="center"/>
    </xf>
    <xf numFmtId="0" fontId="89" fillId="11" borderId="79" xfId="0" applyFont="1" applyFill="1" applyBorder="1" applyAlignment="1" applyProtection="1">
      <alignment horizontal="center"/>
    </xf>
    <xf numFmtId="164" fontId="101" fillId="9" borderId="0" xfId="0" applyNumberFormat="1" applyFont="1" applyFill="1" applyBorder="1" applyAlignment="1" applyProtection="1">
      <alignment horizontal="center"/>
    </xf>
    <xf numFmtId="0" fontId="89" fillId="9" borderId="0" xfId="0" applyFont="1" applyFill="1" applyBorder="1" applyAlignment="1" applyProtection="1">
      <alignment horizontal="center"/>
    </xf>
    <xf numFmtId="2" fontId="101" fillId="9" borderId="0" xfId="0" applyNumberFormat="1" applyFont="1" applyFill="1" applyBorder="1" applyAlignment="1" applyProtection="1">
      <alignment horizontal="center"/>
    </xf>
    <xf numFmtId="0" fontId="101" fillId="9" borderId="0" xfId="0" applyFont="1" applyFill="1" applyBorder="1" applyAlignment="1" applyProtection="1">
      <alignment horizontal="center"/>
    </xf>
    <xf numFmtId="0" fontId="89" fillId="9" borderId="0" xfId="0" applyNumberFormat="1" applyFont="1" applyFill="1" applyBorder="1" applyAlignment="1" applyProtection="1">
      <alignment horizontal="center"/>
    </xf>
    <xf numFmtId="0" fontId="101" fillId="9" borderId="0" xfId="0" applyNumberFormat="1" applyFont="1" applyFill="1" applyBorder="1" applyAlignment="1" applyProtection="1">
      <alignment horizontal="center"/>
    </xf>
    <xf numFmtId="170" fontId="89" fillId="9" borderId="0" xfId="0" applyNumberFormat="1" applyFont="1" applyFill="1" applyBorder="1" applyAlignment="1" applyProtection="1">
      <alignment horizontal="center"/>
    </xf>
    <xf numFmtId="169" fontId="89" fillId="9" borderId="0" xfId="0" applyNumberFormat="1" applyFont="1" applyFill="1" applyBorder="1" applyAlignment="1" applyProtection="1">
      <alignment horizontal="center"/>
    </xf>
    <xf numFmtId="1" fontId="89" fillId="9" borderId="0" xfId="0" applyNumberFormat="1" applyFont="1" applyFill="1" applyBorder="1" applyAlignment="1" applyProtection="1">
      <alignment horizontal="center"/>
    </xf>
    <xf numFmtId="0" fontId="89" fillId="9" borderId="0" xfId="0" applyFont="1" applyFill="1" applyBorder="1" applyAlignment="1" applyProtection="1"/>
    <xf numFmtId="170" fontId="127" fillId="9" borderId="0" xfId="0" applyNumberFormat="1" applyFont="1" applyFill="1" applyBorder="1" applyAlignment="1" applyProtection="1">
      <alignment horizontal="center"/>
    </xf>
    <xf numFmtId="169" fontId="127" fillId="9" borderId="0" xfId="0" applyNumberFormat="1" applyFont="1" applyFill="1" applyBorder="1" applyAlignment="1" applyProtection="1">
      <alignment horizontal="center"/>
    </xf>
    <xf numFmtId="1" fontId="127" fillId="9" borderId="0" xfId="0" applyNumberFormat="1" applyFont="1" applyFill="1" applyBorder="1" applyAlignment="1" applyProtection="1">
      <alignment horizontal="center"/>
    </xf>
    <xf numFmtId="169" fontId="104" fillId="9" borderId="0" xfId="0" applyNumberFormat="1" applyFont="1" applyFill="1" applyBorder="1" applyAlignment="1" applyProtection="1">
      <alignment horizontal="center"/>
    </xf>
    <xf numFmtId="170" fontId="128" fillId="9" borderId="30" xfId="0" applyNumberFormat="1" applyFont="1" applyFill="1" applyBorder="1" applyAlignment="1" applyProtection="1">
      <alignment horizontal="center"/>
    </xf>
    <xf numFmtId="170" fontId="128" fillId="11" borderId="79" xfId="0" applyNumberFormat="1" applyFont="1" applyFill="1" applyBorder="1" applyAlignment="1" applyProtection="1">
      <alignment horizontal="center"/>
    </xf>
    <xf numFmtId="164" fontId="128" fillId="9" borderId="0" xfId="0" applyNumberFormat="1" applyFont="1" applyFill="1" applyBorder="1" applyAlignment="1" applyProtection="1">
      <alignment horizontal="center"/>
    </xf>
    <xf numFmtId="0" fontId="89" fillId="9" borderId="0" xfId="0" applyFont="1" applyFill="1" applyBorder="1" applyAlignment="1" applyProtection="1">
      <alignment horizontal="left"/>
    </xf>
    <xf numFmtId="2" fontId="128" fillId="9" borderId="0" xfId="0" applyNumberFormat="1" applyFont="1" applyFill="1" applyBorder="1" applyAlignment="1" applyProtection="1">
      <alignment horizontal="center"/>
    </xf>
    <xf numFmtId="170" fontId="127" fillId="9" borderId="0" xfId="0" applyNumberFormat="1" applyFont="1" applyFill="1" applyBorder="1" applyAlignment="1" applyProtection="1">
      <alignment horizontal="left"/>
    </xf>
    <xf numFmtId="173" fontId="127" fillId="9" borderId="0" xfId="0" applyNumberFormat="1" applyFont="1" applyFill="1" applyBorder="1" applyAlignment="1" applyProtection="1">
      <alignment horizontal="center"/>
    </xf>
    <xf numFmtId="0" fontId="89" fillId="9" borderId="0" xfId="0" applyFont="1" applyFill="1" applyBorder="1" applyProtection="1"/>
    <xf numFmtId="1" fontId="126" fillId="9" borderId="0" xfId="0" applyNumberFormat="1" applyFont="1" applyFill="1" applyBorder="1" applyAlignment="1" applyProtection="1">
      <alignment horizontal="center"/>
    </xf>
    <xf numFmtId="169" fontId="126" fillId="9" borderId="0" xfId="0" applyNumberFormat="1" applyFont="1" applyFill="1" applyBorder="1" applyAlignment="1" applyProtection="1">
      <alignment horizontal="center"/>
    </xf>
    <xf numFmtId="0" fontId="126" fillId="9" borderId="0" xfId="0" applyFont="1" applyFill="1" applyBorder="1" applyAlignment="1" applyProtection="1">
      <alignment horizontal="center"/>
    </xf>
    <xf numFmtId="9" fontId="126" fillId="9" borderId="0" xfId="0" applyNumberFormat="1" applyFont="1" applyFill="1" applyBorder="1" applyAlignment="1" applyProtection="1">
      <alignment horizontal="center"/>
    </xf>
    <xf numFmtId="0" fontId="89" fillId="9" borderId="41" xfId="0" applyFont="1" applyFill="1" applyBorder="1" applyAlignment="1" applyProtection="1">
      <alignment horizontal="center"/>
    </xf>
    <xf numFmtId="170" fontId="128" fillId="9" borderId="41" xfId="0" applyNumberFormat="1" applyFont="1" applyFill="1" applyBorder="1" applyAlignment="1" applyProtection="1">
      <alignment horizontal="center"/>
    </xf>
    <xf numFmtId="0" fontId="12" fillId="9" borderId="0" xfId="0" applyFont="1" applyFill="1" applyBorder="1" applyProtection="1"/>
    <xf numFmtId="0" fontId="6" fillId="0" borderId="1" xfId="0" applyFont="1" applyFill="1" applyBorder="1" applyAlignment="1" applyProtection="1">
      <alignment horizontal="left"/>
      <protection locked="0"/>
    </xf>
    <xf numFmtId="0" fontId="1" fillId="11" borderId="1" xfId="0" applyNumberFormat="1" applyFont="1" applyFill="1" applyBorder="1" applyAlignment="1" applyProtection="1">
      <alignment horizontal="center"/>
      <protection locked="0"/>
    </xf>
    <xf numFmtId="169" fontId="1" fillId="11" borderId="1" xfId="0" applyNumberFormat="1" applyFont="1" applyFill="1" applyBorder="1" applyAlignment="1" applyProtection="1">
      <alignment horizontal="center"/>
      <protection locked="0"/>
    </xf>
    <xf numFmtId="170" fontId="6" fillId="3" borderId="0" xfId="0" applyNumberFormat="1" applyFont="1" applyFill="1" applyBorder="1" applyAlignment="1" applyProtection="1">
      <alignment horizontal="left"/>
    </xf>
    <xf numFmtId="0" fontId="89" fillId="0" borderId="0" xfId="0" applyFont="1" applyFill="1" applyBorder="1" applyAlignment="1" applyProtection="1">
      <alignment horizontal="left"/>
    </xf>
    <xf numFmtId="0" fontId="129" fillId="0" borderId="0" xfId="0" applyFont="1" applyFill="1" applyBorder="1" applyAlignment="1" applyProtection="1">
      <alignment horizontal="left"/>
    </xf>
    <xf numFmtId="176" fontId="129" fillId="0" borderId="0" xfId="0" applyNumberFormat="1" applyFont="1" applyFill="1" applyBorder="1" applyAlignment="1" applyProtection="1">
      <alignment horizontal="left"/>
    </xf>
    <xf numFmtId="176" fontId="89" fillId="0" borderId="0" xfId="0" applyNumberFormat="1" applyFont="1" applyFill="1" applyBorder="1" applyAlignment="1" applyProtection="1">
      <alignment horizontal="left"/>
    </xf>
    <xf numFmtId="1" fontId="89" fillId="0" borderId="0" xfId="0" applyNumberFormat="1" applyFont="1" applyFill="1" applyBorder="1" applyAlignment="1" applyProtection="1">
      <alignment horizontal="left"/>
    </xf>
    <xf numFmtId="1" fontId="129" fillId="0" borderId="0" xfId="0" applyNumberFormat="1" applyFont="1" applyFill="1" applyBorder="1" applyAlignment="1" applyProtection="1">
      <alignment horizontal="left"/>
    </xf>
    <xf numFmtId="1" fontId="89" fillId="0" borderId="0" xfId="0" applyNumberFormat="1" applyFont="1" applyAlignment="1" applyProtection="1">
      <alignment horizontal="left"/>
    </xf>
    <xf numFmtId="0" fontId="108" fillId="0" borderId="0" xfId="0" applyFont="1" applyFill="1" applyBorder="1" applyAlignment="1" applyProtection="1">
      <alignment horizontal="left"/>
    </xf>
    <xf numFmtId="0" fontId="101" fillId="0" borderId="0" xfId="0" applyFont="1" applyFill="1" applyBorder="1" applyProtection="1"/>
    <xf numFmtId="165" fontId="89" fillId="0" borderId="0" xfId="0" applyNumberFormat="1" applyFont="1" applyFill="1" applyBorder="1" applyAlignment="1" applyProtection="1">
      <alignment horizontal="left"/>
    </xf>
    <xf numFmtId="0" fontId="101" fillId="0" borderId="0" xfId="0" quotePrefix="1" applyFont="1" applyFill="1" applyBorder="1" applyAlignment="1" applyProtection="1">
      <alignment horizontal="left"/>
    </xf>
    <xf numFmtId="165" fontId="101" fillId="0" borderId="0" xfId="0" applyNumberFormat="1" applyFont="1" applyFill="1" applyBorder="1" applyAlignment="1" applyProtection="1">
      <alignment horizontal="left"/>
    </xf>
    <xf numFmtId="165" fontId="101" fillId="7" borderId="0" xfId="0" applyNumberFormat="1" applyFont="1" applyFill="1" applyBorder="1" applyAlignment="1" applyProtection="1">
      <alignment horizontal="left"/>
      <protection locked="0"/>
    </xf>
    <xf numFmtId="165" fontId="89" fillId="7" borderId="0" xfId="0" applyNumberFormat="1" applyFont="1" applyFill="1" applyBorder="1" applyAlignment="1" applyProtection="1">
      <alignment horizontal="left"/>
      <protection locked="0"/>
    </xf>
    <xf numFmtId="0" fontId="131" fillId="0" borderId="0" xfId="0" quotePrefix="1" applyFont="1" applyFill="1" applyBorder="1" applyAlignment="1" applyProtection="1">
      <alignment horizontal="left"/>
    </xf>
    <xf numFmtId="0" fontId="101" fillId="0" borderId="0" xfId="0" quotePrefix="1" applyFont="1" applyFill="1" applyBorder="1" applyAlignment="1" applyProtection="1">
      <alignment horizontal="right"/>
    </xf>
    <xf numFmtId="187" fontId="89" fillId="0" borderId="0" xfId="0" applyNumberFormat="1" applyFont="1" applyFill="1" applyBorder="1" applyAlignment="1" applyProtection="1">
      <alignment horizontal="left"/>
    </xf>
    <xf numFmtId="44" fontId="89" fillId="0" borderId="0" xfId="0" applyNumberFormat="1" applyFont="1" applyFill="1" applyBorder="1" applyAlignment="1" applyProtection="1">
      <alignment horizontal="left"/>
    </xf>
    <xf numFmtId="0" fontId="128" fillId="0" borderId="0" xfId="0" applyFont="1" applyAlignment="1" applyProtection="1">
      <alignment horizontal="left"/>
    </xf>
    <xf numFmtId="0" fontId="89" fillId="0" borderId="0" xfId="0" applyFont="1" applyFill="1" applyBorder="1" applyAlignment="1" applyProtection="1">
      <alignment horizontal="center"/>
    </xf>
    <xf numFmtId="0" fontId="101" fillId="0" borderId="0" xfId="0" applyFont="1" applyAlignment="1" applyProtection="1">
      <alignment horizontal="left"/>
    </xf>
    <xf numFmtId="0" fontId="123" fillId="0" borderId="0" xfId="0" applyFont="1" applyAlignment="1" applyProtection="1">
      <alignment horizontal="left"/>
    </xf>
    <xf numFmtId="185" fontId="101" fillId="0" borderId="0" xfId="0" applyNumberFormat="1" applyFont="1" applyAlignment="1" applyProtection="1">
      <alignment horizontal="left"/>
    </xf>
    <xf numFmtId="1" fontId="89" fillId="0" borderId="0" xfId="0" applyNumberFormat="1" applyFont="1" applyAlignment="1" applyProtection="1">
      <alignment horizontal="center"/>
    </xf>
    <xf numFmtId="167" fontId="101" fillId="0" borderId="0" xfId="0" applyNumberFormat="1" applyFont="1" applyAlignment="1" applyProtection="1">
      <alignment horizontal="right"/>
    </xf>
    <xf numFmtId="167" fontId="89" fillId="0" borderId="0" xfId="0" applyNumberFormat="1" applyFont="1" applyAlignment="1" applyProtection="1">
      <alignment horizontal="left"/>
    </xf>
    <xf numFmtId="9" fontId="89" fillId="0" borderId="0" xfId="0" applyNumberFormat="1" applyFont="1" applyFill="1" applyAlignment="1" applyProtection="1">
      <alignment horizontal="center"/>
    </xf>
    <xf numFmtId="10" fontId="89" fillId="0" borderId="0" xfId="0" applyNumberFormat="1" applyFont="1" applyFill="1" applyAlignment="1" applyProtection="1">
      <alignment horizontal="left"/>
    </xf>
    <xf numFmtId="0" fontId="89" fillId="0" borderId="0" xfId="0" applyFont="1" applyAlignment="1" applyProtection="1">
      <alignment horizontal="right"/>
    </xf>
    <xf numFmtId="44" fontId="89" fillId="0" borderId="0" xfId="0" applyNumberFormat="1" applyFont="1" applyFill="1" applyAlignment="1" applyProtection="1">
      <alignment horizontal="left"/>
    </xf>
    <xf numFmtId="1" fontId="89" fillId="0" borderId="0" xfId="0" applyNumberFormat="1" applyFont="1" applyFill="1" applyBorder="1" applyAlignment="1" applyProtection="1">
      <alignment horizontal="center"/>
    </xf>
    <xf numFmtId="167" fontId="89" fillId="0" borderId="0" xfId="0" applyNumberFormat="1" applyFont="1" applyFill="1" applyBorder="1" applyAlignment="1" applyProtection="1">
      <alignment horizontal="center"/>
    </xf>
    <xf numFmtId="0" fontId="89" fillId="0" borderId="0" xfId="0" applyFont="1" applyFill="1" applyProtection="1"/>
    <xf numFmtId="0" fontId="123" fillId="0" borderId="0" xfId="0" applyFont="1" applyFill="1" applyAlignment="1" applyProtection="1">
      <alignment horizontal="left"/>
    </xf>
    <xf numFmtId="167" fontId="130" fillId="0" borderId="0" xfId="0" applyNumberFormat="1" applyFont="1" applyProtection="1"/>
    <xf numFmtId="10" fontId="89" fillId="0" borderId="0" xfId="0" applyNumberFormat="1" applyFont="1" applyAlignment="1" applyProtection="1">
      <alignment horizontal="left"/>
    </xf>
    <xf numFmtId="44" fontId="89" fillId="0" borderId="0" xfId="0" applyNumberFormat="1" applyFont="1" applyAlignment="1" applyProtection="1">
      <alignment horizontal="left"/>
    </xf>
    <xf numFmtId="165" fontId="89" fillId="0" borderId="0" xfId="0" applyNumberFormat="1" applyFont="1" applyFill="1" applyProtection="1"/>
    <xf numFmtId="0" fontId="101" fillId="0" borderId="0" xfId="0" quotePrefix="1" applyFont="1" applyFill="1" applyAlignment="1" applyProtection="1">
      <alignment horizontal="left"/>
    </xf>
    <xf numFmtId="0" fontId="101" fillId="0" borderId="0" xfId="0" applyFont="1" applyFill="1" applyProtection="1"/>
    <xf numFmtId="0" fontId="89" fillId="0" borderId="0" xfId="0" quotePrefix="1" applyFont="1" applyAlignment="1" applyProtection="1">
      <alignment horizontal="left"/>
    </xf>
    <xf numFmtId="2" fontId="89" fillId="0" borderId="0" xfId="0" applyNumberFormat="1" applyFont="1" applyFill="1" applyProtection="1"/>
    <xf numFmtId="173" fontId="89" fillId="0" borderId="0" xfId="0" applyNumberFormat="1" applyFont="1" applyFill="1" applyBorder="1" applyAlignment="1" applyProtection="1">
      <alignment horizontal="left"/>
    </xf>
    <xf numFmtId="1" fontId="101" fillId="0" borderId="0" xfId="0" applyNumberFormat="1" applyFont="1" applyFill="1" applyBorder="1" applyAlignment="1" applyProtection="1">
      <alignment horizontal="left"/>
    </xf>
    <xf numFmtId="1" fontId="89" fillId="0" borderId="0" xfId="0" applyNumberFormat="1" applyFont="1" applyProtection="1"/>
    <xf numFmtId="1" fontId="89" fillId="0" borderId="0" xfId="0" applyNumberFormat="1" applyFont="1" applyFill="1" applyAlignment="1" applyProtection="1">
      <alignment horizontal="right"/>
    </xf>
    <xf numFmtId="2" fontId="89" fillId="0" borderId="0" xfId="0" applyNumberFormat="1" applyFont="1" applyAlignment="1" applyProtection="1">
      <alignment horizontal="right"/>
    </xf>
    <xf numFmtId="0" fontId="15" fillId="2" borderId="24" xfId="0" applyFont="1" applyFill="1" applyBorder="1" applyProtection="1"/>
    <xf numFmtId="164" fontId="34" fillId="4" borderId="11" xfId="0" applyNumberFormat="1" applyFont="1" applyFill="1" applyBorder="1" applyProtection="1"/>
    <xf numFmtId="164" fontId="6" fillId="5" borderId="11" xfId="0" applyNumberFormat="1" applyFont="1" applyFill="1" applyBorder="1" applyAlignment="1" applyProtection="1">
      <alignment horizontal="center"/>
    </xf>
    <xf numFmtId="164" fontId="42" fillId="4" borderId="11" xfId="0" applyNumberFormat="1" applyFont="1" applyFill="1" applyBorder="1" applyAlignment="1" applyProtection="1">
      <alignment horizontal="center"/>
    </xf>
    <xf numFmtId="164" fontId="15" fillId="3" borderId="11" xfId="0" applyNumberFormat="1" applyFont="1" applyFill="1" applyBorder="1" applyAlignment="1" applyProtection="1">
      <alignment horizontal="center"/>
    </xf>
    <xf numFmtId="0" fontId="6" fillId="2" borderId="80" xfId="0" applyFont="1" applyFill="1" applyBorder="1" applyProtection="1"/>
    <xf numFmtId="0" fontId="37" fillId="2" borderId="6" xfId="0" applyFont="1" applyFill="1" applyBorder="1" applyProtection="1"/>
    <xf numFmtId="0" fontId="86" fillId="2" borderId="6" xfId="0" applyFont="1" applyFill="1" applyBorder="1" applyAlignment="1" applyProtection="1">
      <alignment horizontal="center"/>
    </xf>
    <xf numFmtId="0" fontId="6" fillId="3" borderId="81" xfId="0" applyFont="1" applyFill="1" applyBorder="1" applyAlignment="1" applyProtection="1">
      <alignment horizontal="center"/>
    </xf>
    <xf numFmtId="0" fontId="6" fillId="3" borderId="81" xfId="0" applyFont="1" applyFill="1" applyBorder="1" applyProtection="1"/>
    <xf numFmtId="0" fontId="6" fillId="2" borderId="82" xfId="0" applyFont="1" applyFill="1" applyBorder="1" applyProtection="1"/>
    <xf numFmtId="0" fontId="7" fillId="3" borderId="11" xfId="0" applyFont="1" applyFill="1" applyBorder="1" applyAlignment="1" applyProtection="1">
      <alignment horizontal="left"/>
    </xf>
    <xf numFmtId="0" fontId="62" fillId="2" borderId="43" xfId="0" applyFont="1" applyFill="1" applyBorder="1" applyProtection="1"/>
    <xf numFmtId="0" fontId="25" fillId="2" borderId="43" xfId="0" applyFont="1" applyFill="1" applyBorder="1" applyProtection="1"/>
    <xf numFmtId="0" fontId="7" fillId="2" borderId="43" xfId="0" applyFont="1" applyFill="1" applyBorder="1" applyAlignment="1" applyProtection="1">
      <alignment horizontal="left"/>
    </xf>
    <xf numFmtId="0" fontId="6" fillId="2" borderId="83" xfId="0" applyFont="1" applyFill="1" applyBorder="1" applyProtection="1"/>
    <xf numFmtId="1" fontId="11" fillId="0" borderId="1" xfId="3" applyNumberFormat="1" applyFont="1" applyFill="1" applyBorder="1" applyAlignment="1" applyProtection="1">
      <alignment horizontal="center"/>
      <protection locked="0"/>
    </xf>
    <xf numFmtId="172" fontId="11" fillId="13" borderId="1" xfId="3" applyNumberFormat="1" applyFont="1" applyFill="1" applyBorder="1" applyAlignment="1" applyProtection="1">
      <protection locked="0"/>
    </xf>
    <xf numFmtId="0" fontId="132" fillId="0" borderId="0" xfId="0" applyFont="1" applyFill="1" applyAlignment="1" applyProtection="1">
      <alignment horizontal="left"/>
    </xf>
    <xf numFmtId="165" fontId="132" fillId="0" borderId="0" xfId="0" applyNumberFormat="1" applyFont="1" applyFill="1" applyAlignment="1" applyProtection="1">
      <alignment horizontal="left"/>
    </xf>
    <xf numFmtId="0" fontId="132" fillId="0" borderId="0" xfId="0" applyFont="1" applyAlignment="1" applyProtection="1">
      <alignment horizontal="left"/>
    </xf>
    <xf numFmtId="0" fontId="132" fillId="0" borderId="0" xfId="0" applyFont="1" applyFill="1" applyAlignment="1" applyProtection="1">
      <alignment horizontal="center"/>
    </xf>
    <xf numFmtId="44" fontId="132" fillId="0" borderId="0" xfId="0" applyNumberFormat="1" applyFont="1" applyAlignment="1" applyProtection="1">
      <alignment horizontal="left"/>
    </xf>
    <xf numFmtId="179" fontId="130" fillId="0" borderId="0" xfId="0" applyNumberFormat="1" applyFont="1" applyProtection="1"/>
    <xf numFmtId="186" fontId="11" fillId="0" borderId="1" xfId="0" applyNumberFormat="1" applyFont="1" applyFill="1" applyBorder="1" applyAlignment="1" applyProtection="1">
      <alignment horizontal="center"/>
      <protection locked="0"/>
    </xf>
    <xf numFmtId="186" fontId="88" fillId="6" borderId="1" xfId="0" applyNumberFormat="1" applyFont="1" applyFill="1" applyBorder="1" applyAlignment="1" applyProtection="1">
      <alignment horizontal="center"/>
    </xf>
    <xf numFmtId="10" fontId="89" fillId="0" borderId="0" xfId="0" applyNumberFormat="1" applyFont="1" applyFill="1" applyAlignment="1" applyProtection="1">
      <alignment horizontal="center"/>
    </xf>
    <xf numFmtId="42" fontId="43" fillId="4" borderId="14" xfId="0" applyNumberFormat="1" applyFont="1" applyFill="1" applyBorder="1" applyAlignment="1" applyProtection="1"/>
    <xf numFmtId="42" fontId="43" fillId="4" borderId="1" xfId="0" applyNumberFormat="1" applyFont="1" applyFill="1" applyBorder="1" applyAlignment="1" applyProtection="1"/>
    <xf numFmtId="10" fontId="89" fillId="7" borderId="0" xfId="0" applyNumberFormat="1" applyFont="1" applyFill="1" applyAlignment="1" applyProtection="1">
      <alignment horizontal="center"/>
      <protection locked="0"/>
    </xf>
    <xf numFmtId="164" fontId="6" fillId="11" borderId="1" xfId="0" applyNumberFormat="1" applyFont="1" applyFill="1" applyBorder="1" applyAlignment="1" applyProtection="1">
      <alignment horizontal="center"/>
      <protection locked="0"/>
    </xf>
    <xf numFmtId="164" fontId="6" fillId="11" borderId="1" xfId="0" applyNumberFormat="1" applyFont="1" applyFill="1" applyBorder="1" applyProtection="1">
      <protection locked="0"/>
    </xf>
    <xf numFmtId="42" fontId="43" fillId="14" borderId="1" xfId="0" applyNumberFormat="1" applyFont="1" applyFill="1" applyBorder="1" applyAlignment="1" applyProtection="1"/>
    <xf numFmtId="164" fontId="6" fillId="0" borderId="1" xfId="0" applyNumberFormat="1" applyFont="1" applyFill="1" applyBorder="1" applyAlignment="1" applyProtection="1">
      <alignment horizontal="left"/>
      <protection locked="0"/>
    </xf>
    <xf numFmtId="164" fontId="6" fillId="0" borderId="1" xfId="3" applyNumberFormat="1" applyFont="1" applyFill="1" applyBorder="1" applyAlignment="1" applyProtection="1">
      <alignment horizontal="left"/>
      <protection locked="0"/>
    </xf>
    <xf numFmtId="42" fontId="6" fillId="0" borderId="1" xfId="0" applyNumberFormat="1" applyFont="1" applyFill="1" applyBorder="1" applyAlignment="1" applyProtection="1">
      <alignment horizontal="left"/>
      <protection locked="0"/>
    </xf>
    <xf numFmtId="0" fontId="12" fillId="3" borderId="84" xfId="0" applyFont="1" applyFill="1" applyBorder="1" applyProtection="1"/>
    <xf numFmtId="0" fontId="11" fillId="3" borderId="84" xfId="0" applyFont="1" applyFill="1" applyBorder="1" applyProtection="1"/>
    <xf numFmtId="0" fontId="11" fillId="3" borderId="84" xfId="0" applyFont="1" applyFill="1" applyBorder="1" applyAlignment="1" applyProtection="1">
      <alignment horizontal="center"/>
    </xf>
    <xf numFmtId="0" fontId="7" fillId="3" borderId="85" xfId="0" applyFont="1" applyFill="1" applyBorder="1" applyProtection="1"/>
    <xf numFmtId="0" fontId="6" fillId="3" borderId="85" xfId="0" applyFont="1" applyFill="1" applyBorder="1" applyProtection="1"/>
    <xf numFmtId="0" fontId="6" fillId="3" borderId="85" xfId="0" applyFont="1" applyFill="1" applyBorder="1" applyAlignment="1" applyProtection="1">
      <alignment horizontal="center"/>
    </xf>
    <xf numFmtId="0" fontId="6" fillId="3" borderId="86" xfId="0" applyFont="1" applyFill="1" applyBorder="1" applyAlignment="1" applyProtection="1">
      <alignment horizontal="center"/>
    </xf>
    <xf numFmtId="0" fontId="42" fillId="2" borderId="80" xfId="0" applyFont="1" applyFill="1" applyBorder="1" applyAlignment="1" applyProtection="1">
      <alignment horizontal="center"/>
    </xf>
    <xf numFmtId="0" fontId="15" fillId="9" borderId="1" xfId="0" applyFont="1" applyFill="1" applyBorder="1" applyAlignment="1" applyProtection="1">
      <alignment horizontal="center"/>
    </xf>
    <xf numFmtId="186" fontId="6" fillId="0" borderId="1" xfId="0" applyNumberFormat="1" applyFont="1" applyFill="1" applyBorder="1" applyAlignment="1" applyProtection="1">
      <alignment horizontal="center"/>
      <protection locked="0"/>
    </xf>
    <xf numFmtId="167" fontId="101" fillId="5" borderId="0" xfId="0" applyNumberFormat="1" applyFont="1" applyFill="1" applyAlignment="1" applyProtection="1">
      <alignment horizontal="right"/>
      <protection locked="0"/>
    </xf>
    <xf numFmtId="0" fontId="133" fillId="0" borderId="0" xfId="0" applyFont="1" applyAlignment="1" applyProtection="1">
      <alignment horizontal="left"/>
    </xf>
    <xf numFmtId="0" fontId="101" fillId="0" borderId="0" xfId="0" applyFont="1" applyProtection="1"/>
    <xf numFmtId="0" fontId="6" fillId="9" borderId="22" xfId="0" applyFont="1" applyFill="1" applyBorder="1" applyProtection="1"/>
    <xf numFmtId="165" fontId="89" fillId="0" borderId="0" xfId="0" applyNumberFormat="1" applyFont="1" applyAlignment="1" applyProtection="1">
      <alignment horizontal="left"/>
    </xf>
    <xf numFmtId="0" fontId="93" fillId="9" borderId="0" xfId="0" applyFont="1" applyFill="1" applyBorder="1" applyAlignment="1" applyProtection="1">
      <alignment horizontal="left"/>
    </xf>
    <xf numFmtId="0" fontId="6" fillId="3" borderId="87" xfId="0" applyFont="1" applyFill="1" applyBorder="1" applyAlignment="1" applyProtection="1">
      <alignment horizontal="center"/>
    </xf>
    <xf numFmtId="42" fontId="90" fillId="6" borderId="32" xfId="0" applyNumberFormat="1" applyFont="1" applyFill="1" applyBorder="1" applyAlignment="1" applyProtection="1">
      <alignment horizontal="center"/>
    </xf>
    <xf numFmtId="0" fontId="39" fillId="8" borderId="88" xfId="0" applyFont="1" applyFill="1" applyBorder="1" applyAlignment="1" applyProtection="1">
      <alignment horizontal="center"/>
    </xf>
    <xf numFmtId="0" fontId="0" fillId="11" borderId="0" xfId="0" applyFill="1" applyBorder="1" applyProtection="1"/>
    <xf numFmtId="0" fontId="0" fillId="11" borderId="24" xfId="0" applyFill="1" applyBorder="1" applyProtection="1"/>
    <xf numFmtId="0" fontId="0" fillId="11" borderId="25" xfId="0" applyFill="1" applyBorder="1" applyProtection="1"/>
    <xf numFmtId="0" fontId="0" fillId="11" borderId="6" xfId="0" applyFill="1" applyBorder="1" applyProtection="1"/>
    <xf numFmtId="42" fontId="90" fillId="6" borderId="89" xfId="0" applyNumberFormat="1" applyFont="1" applyFill="1" applyBorder="1" applyAlignment="1" applyProtection="1">
      <alignment horizontal="center"/>
    </xf>
    <xf numFmtId="42" fontId="90" fillId="6" borderId="90" xfId="0" applyNumberFormat="1" applyFont="1" applyFill="1" applyBorder="1" applyAlignment="1" applyProtection="1">
      <alignment horizontal="center"/>
    </xf>
    <xf numFmtId="0" fontId="6" fillId="3" borderId="78" xfId="0" applyFont="1" applyFill="1" applyBorder="1" applyAlignment="1" applyProtection="1">
      <alignment horizontal="center"/>
    </xf>
    <xf numFmtId="0" fontId="7" fillId="9" borderId="0" xfId="0" applyFont="1" applyFill="1" applyBorder="1" applyProtection="1"/>
    <xf numFmtId="0" fontId="6" fillId="9" borderId="43" xfId="0" applyFont="1" applyFill="1" applyBorder="1" applyProtection="1"/>
    <xf numFmtId="0" fontId="0" fillId="9" borderId="0" xfId="0" applyFill="1" applyBorder="1"/>
    <xf numFmtId="0" fontId="6" fillId="2" borderId="23" xfId="0" applyFont="1" applyFill="1" applyBorder="1" applyProtection="1"/>
    <xf numFmtId="0" fontId="6" fillId="3" borderId="86" xfId="0" applyFont="1" applyFill="1" applyBorder="1" applyAlignment="1" applyProtection="1">
      <alignment horizontal="left"/>
    </xf>
    <xf numFmtId="0" fontId="6" fillId="3" borderId="86" xfId="0" applyFont="1" applyFill="1" applyBorder="1" applyAlignment="1" applyProtection="1"/>
    <xf numFmtId="0" fontId="6" fillId="2" borderId="91" xfId="0" applyFont="1" applyFill="1" applyBorder="1" applyProtection="1"/>
    <xf numFmtId="0" fontId="53" fillId="2" borderId="43" xfId="0" applyFont="1" applyFill="1" applyBorder="1" applyProtection="1"/>
    <xf numFmtId="0" fontId="54" fillId="2" borderId="43" xfId="0" applyFont="1" applyFill="1" applyBorder="1" applyProtection="1"/>
    <xf numFmtId="0" fontId="55" fillId="2" borderId="43" xfId="0" applyFont="1" applyFill="1" applyBorder="1" applyAlignment="1" applyProtection="1">
      <alignment horizontal="center"/>
    </xf>
    <xf numFmtId="0" fontId="54" fillId="2" borderId="43" xfId="0" applyFont="1" applyFill="1" applyBorder="1" applyAlignment="1" applyProtection="1">
      <alignment horizontal="center"/>
    </xf>
    <xf numFmtId="42" fontId="90" fillId="9" borderId="43" xfId="0" applyNumberFormat="1" applyFont="1" applyFill="1" applyBorder="1" applyAlignment="1" applyProtection="1">
      <alignment horizontal="center"/>
    </xf>
    <xf numFmtId="0" fontId="54" fillId="11" borderId="43" xfId="0" applyFont="1" applyFill="1" applyBorder="1" applyAlignment="1" applyProtection="1">
      <alignment horizontal="center"/>
    </xf>
    <xf numFmtId="164" fontId="6" fillId="9" borderId="43" xfId="0" applyNumberFormat="1" applyFont="1" applyFill="1" applyBorder="1" applyAlignment="1" applyProtection="1">
      <alignment horizontal="center"/>
    </xf>
    <xf numFmtId="164" fontId="41" fillId="9" borderId="43" xfId="0" applyNumberFormat="1" applyFont="1" applyFill="1" applyBorder="1" applyAlignment="1" applyProtection="1"/>
    <xf numFmtId="0" fontId="6" fillId="11" borderId="91" xfId="0" applyFont="1" applyFill="1" applyBorder="1" applyProtection="1"/>
    <xf numFmtId="42" fontId="6" fillId="9" borderId="0" xfId="0" applyNumberFormat="1" applyFont="1" applyFill="1" applyBorder="1" applyProtection="1"/>
    <xf numFmtId="44" fontId="88" fillId="14" borderId="0" xfId="0" applyNumberFormat="1" applyFont="1" applyFill="1" applyBorder="1" applyProtection="1"/>
    <xf numFmtId="42" fontId="6" fillId="7" borderId="1" xfId="0" applyNumberFormat="1" applyFont="1" applyFill="1" applyBorder="1" applyAlignment="1" applyProtection="1">
      <alignment horizontal="center"/>
    </xf>
    <xf numFmtId="0" fontId="13" fillId="8" borderId="92" xfId="0" applyFont="1" applyFill="1" applyBorder="1" applyProtection="1"/>
    <xf numFmtId="0" fontId="11" fillId="3" borderId="85" xfId="0" applyFont="1" applyFill="1" applyBorder="1" applyProtection="1"/>
    <xf numFmtId="0" fontId="11" fillId="3" borderId="85" xfId="0" applyFont="1" applyFill="1" applyBorder="1" applyAlignment="1" applyProtection="1">
      <alignment horizontal="center"/>
    </xf>
    <xf numFmtId="42" fontId="88" fillId="14" borderId="1" xfId="0" applyNumberFormat="1" applyFont="1" applyFill="1" applyBorder="1" applyAlignment="1" applyProtection="1">
      <alignment horizontal="center"/>
    </xf>
    <xf numFmtId="0" fontId="89" fillId="11" borderId="1" xfId="0" applyFont="1" applyFill="1" applyBorder="1" applyAlignment="1" applyProtection="1">
      <alignment horizontal="left"/>
      <protection locked="0"/>
    </xf>
    <xf numFmtId="174" fontId="89" fillId="11" borderId="1" xfId="0" applyNumberFormat="1" applyFont="1" applyFill="1" applyBorder="1" applyAlignment="1" applyProtection="1">
      <alignment horizontal="center"/>
      <protection locked="0"/>
    </xf>
    <xf numFmtId="174" fontId="6" fillId="2" borderId="1" xfId="0" applyNumberFormat="1" applyFont="1" applyFill="1" applyBorder="1" applyAlignment="1" applyProtection="1">
      <alignment horizontal="center"/>
      <protection locked="0"/>
    </xf>
    <xf numFmtId="169" fontId="6" fillId="2" borderId="1" xfId="3" applyNumberFormat="1" applyFont="1" applyFill="1" applyBorder="1" applyAlignment="1" applyProtection="1">
      <alignment horizontal="center"/>
      <protection locked="0"/>
    </xf>
    <xf numFmtId="44" fontId="11" fillId="3" borderId="0" xfId="0" applyNumberFormat="1" applyFont="1" applyFill="1" applyProtection="1"/>
    <xf numFmtId="0" fontId="13" fillId="2" borderId="0" xfId="0" applyFont="1" applyFill="1"/>
    <xf numFmtId="0" fontId="82" fillId="15" borderId="1" xfId="0" applyFont="1" applyFill="1" applyBorder="1" applyProtection="1"/>
    <xf numFmtId="164" fontId="13" fillId="9" borderId="1" xfId="0" applyNumberFormat="1" applyFont="1" applyFill="1" applyBorder="1" applyAlignment="1" applyProtection="1">
      <alignment horizontal="center"/>
    </xf>
    <xf numFmtId="180" fontId="13" fillId="9" borderId="1" xfId="0" applyNumberFormat="1" applyFont="1" applyFill="1" applyBorder="1" applyAlignment="1" applyProtection="1">
      <alignment horizontal="center"/>
    </xf>
    <xf numFmtId="164" fontId="13" fillId="9" borderId="14" xfId="0" applyNumberFormat="1" applyFont="1" applyFill="1" applyBorder="1" applyAlignment="1" applyProtection="1">
      <alignment horizontal="center"/>
    </xf>
    <xf numFmtId="0" fontId="11" fillId="11" borderId="93" xfId="0" applyFont="1" applyFill="1" applyBorder="1" applyProtection="1"/>
    <xf numFmtId="0" fontId="11" fillId="11" borderId="93" xfId="0" applyFont="1" applyFill="1" applyBorder="1" applyAlignment="1" applyProtection="1">
      <alignment horizontal="center"/>
    </xf>
    <xf numFmtId="164" fontId="13" fillId="11" borderId="93" xfId="0" applyNumberFormat="1" applyFont="1" applyFill="1" applyBorder="1" applyAlignment="1" applyProtection="1">
      <alignment horizontal="center"/>
    </xf>
    <xf numFmtId="0" fontId="6" fillId="11" borderId="94" xfId="0" applyFont="1" applyFill="1" applyBorder="1" applyProtection="1"/>
    <xf numFmtId="0" fontId="6" fillId="11" borderId="95" xfId="0" applyFont="1" applyFill="1" applyBorder="1" applyProtection="1"/>
    <xf numFmtId="0" fontId="0" fillId="11" borderId="27" xfId="0" applyFill="1" applyBorder="1" applyProtection="1"/>
    <xf numFmtId="0" fontId="0" fillId="11" borderId="28" xfId="0" applyFill="1" applyBorder="1" applyProtection="1"/>
    <xf numFmtId="0" fontId="0" fillId="11" borderId="5" xfId="0" applyFill="1" applyBorder="1" applyProtection="1"/>
    <xf numFmtId="0" fontId="6" fillId="11" borderId="96" xfId="0" applyFont="1" applyFill="1" applyBorder="1" applyProtection="1"/>
    <xf numFmtId="0" fontId="11" fillId="11" borderId="97" xfId="0" applyFont="1" applyFill="1" applyBorder="1" applyProtection="1"/>
    <xf numFmtId="0" fontId="11" fillId="11" borderId="97" xfId="0" applyFont="1" applyFill="1" applyBorder="1" applyAlignment="1" applyProtection="1">
      <alignment horizontal="center"/>
    </xf>
    <xf numFmtId="164" fontId="13" fillId="11" borderId="97" xfId="0" applyNumberFormat="1" applyFont="1" applyFill="1" applyBorder="1" applyAlignment="1" applyProtection="1">
      <alignment horizontal="center"/>
    </xf>
    <xf numFmtId="0" fontId="6" fillId="11" borderId="98" xfId="0" applyFont="1" applyFill="1" applyBorder="1" applyProtection="1"/>
    <xf numFmtId="0" fontId="6" fillId="2" borderId="99" xfId="0" applyFont="1" applyFill="1" applyBorder="1" applyProtection="1"/>
    <xf numFmtId="0" fontId="6" fillId="2" borderId="79" xfId="0" applyFont="1" applyFill="1" applyBorder="1" applyProtection="1"/>
    <xf numFmtId="0" fontId="11" fillId="11" borderId="0" xfId="0" applyFont="1" applyFill="1" applyBorder="1" applyAlignment="1" applyProtection="1">
      <alignment horizontal="center"/>
    </xf>
    <xf numFmtId="164" fontId="13" fillId="11" borderId="0" xfId="0" applyNumberFormat="1" applyFont="1" applyFill="1" applyBorder="1" applyAlignment="1" applyProtection="1">
      <alignment horizontal="center"/>
    </xf>
    <xf numFmtId="0" fontId="11" fillId="11" borderId="27" xfId="0" applyFont="1" applyFill="1" applyBorder="1" applyProtection="1"/>
    <xf numFmtId="0" fontId="11" fillId="11" borderId="27" xfId="0" applyFont="1" applyFill="1" applyBorder="1" applyAlignment="1" applyProtection="1">
      <alignment horizontal="center"/>
    </xf>
    <xf numFmtId="164" fontId="13" fillId="11" borderId="27" xfId="0" applyNumberFormat="1" applyFont="1" applyFill="1" applyBorder="1" applyAlignment="1" applyProtection="1">
      <alignment horizontal="center"/>
    </xf>
    <xf numFmtId="0" fontId="6" fillId="2" borderId="28" xfId="0" applyFont="1" applyFill="1" applyBorder="1" applyProtection="1"/>
    <xf numFmtId="0" fontId="0" fillId="11" borderId="83" xfId="0" applyFill="1" applyBorder="1" applyProtection="1"/>
    <xf numFmtId="42" fontId="13" fillId="0" borderId="1" xfId="0" applyNumberFormat="1" applyFont="1" applyFill="1" applyBorder="1" applyAlignment="1" applyProtection="1">
      <alignment horizontal="center"/>
      <protection locked="0"/>
    </xf>
    <xf numFmtId="0" fontId="6" fillId="11" borderId="3" xfId="0" applyFont="1" applyFill="1" applyBorder="1" applyProtection="1"/>
    <xf numFmtId="0" fontId="11" fillId="11" borderId="3" xfId="0" applyFont="1" applyFill="1" applyBorder="1" applyAlignment="1" applyProtection="1">
      <alignment horizontal="center"/>
    </xf>
    <xf numFmtId="164" fontId="13" fillId="11" borderId="3" xfId="0" applyNumberFormat="1" applyFont="1" applyFill="1" applyBorder="1" applyAlignment="1" applyProtection="1">
      <alignment horizontal="center"/>
    </xf>
    <xf numFmtId="0" fontId="6" fillId="9" borderId="12" xfId="0" applyFont="1" applyFill="1" applyBorder="1" applyAlignment="1" applyProtection="1"/>
    <xf numFmtId="164" fontId="13" fillId="9" borderId="0" xfId="0" applyNumberFormat="1" applyFont="1" applyFill="1" applyBorder="1" applyAlignment="1" applyProtection="1">
      <alignment horizontal="center"/>
    </xf>
    <xf numFmtId="180" fontId="13" fillId="9"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left"/>
      <protection locked="0"/>
    </xf>
    <xf numFmtId="164" fontId="41" fillId="10" borderId="1" xfId="0" applyNumberFormat="1" applyFont="1" applyFill="1" applyBorder="1" applyAlignment="1" applyProtection="1">
      <alignment horizontal="center"/>
    </xf>
    <xf numFmtId="164" fontId="90" fillId="10" borderId="0" xfId="0" applyNumberFormat="1" applyFont="1" applyFill="1" applyBorder="1" applyAlignment="1" applyProtection="1">
      <alignment horizontal="center"/>
    </xf>
    <xf numFmtId="180" fontId="89" fillId="0" borderId="0" xfId="0" applyNumberFormat="1" applyFont="1" applyFill="1" applyAlignment="1" applyProtection="1">
      <alignment horizontal="center"/>
    </xf>
    <xf numFmtId="0" fontId="15" fillId="9" borderId="64" xfId="0" applyFont="1" applyFill="1" applyBorder="1" applyAlignment="1" applyProtection="1">
      <alignment horizontal="right"/>
    </xf>
    <xf numFmtId="0" fontId="13" fillId="9" borderId="0" xfId="0" applyFont="1" applyFill="1" applyBorder="1" applyAlignment="1" applyProtection="1">
      <alignment horizontal="right"/>
    </xf>
    <xf numFmtId="42" fontId="13" fillId="7" borderId="0" xfId="0" applyNumberFormat="1" applyFont="1" applyFill="1" applyBorder="1" applyProtection="1"/>
    <xf numFmtId="186" fontId="11" fillId="3" borderId="1" xfId="0" applyNumberFormat="1" applyFont="1" applyFill="1" applyBorder="1" applyAlignment="1" applyProtection="1">
      <alignment horizontal="center"/>
    </xf>
    <xf numFmtId="186" fontId="6" fillId="5" borderId="1" xfId="0" applyNumberFormat="1" applyFont="1" applyFill="1" applyBorder="1" applyAlignment="1" applyProtection="1">
      <alignment horizontal="center"/>
    </xf>
    <xf numFmtId="186" fontId="42" fillId="4" borderId="1" xfId="0" applyNumberFormat="1" applyFont="1" applyFill="1" applyBorder="1" applyAlignment="1" applyProtection="1">
      <alignment horizontal="center"/>
    </xf>
    <xf numFmtId="165" fontId="6" fillId="9" borderId="0" xfId="3" applyNumberFormat="1" applyFont="1" applyFill="1" applyBorder="1" applyProtection="1">
      <protection locked="0"/>
    </xf>
    <xf numFmtId="44" fontId="89" fillId="9" borderId="0" xfId="0" applyNumberFormat="1" applyFont="1" applyFill="1" applyBorder="1" applyAlignment="1" applyProtection="1">
      <alignment horizontal="center"/>
      <protection locked="0"/>
    </xf>
    <xf numFmtId="164" fontId="6" fillId="0" borderId="1" xfId="0" applyNumberFormat="1" applyFont="1" applyFill="1" applyBorder="1" applyProtection="1">
      <protection locked="0"/>
    </xf>
    <xf numFmtId="44" fontId="6" fillId="9" borderId="0" xfId="0" applyNumberFormat="1" applyFont="1" applyFill="1" applyBorder="1" applyProtection="1"/>
    <xf numFmtId="171" fontId="6" fillId="11" borderId="0" xfId="0" applyNumberFormat="1" applyFont="1" applyFill="1" applyBorder="1" applyProtection="1"/>
    <xf numFmtId="42" fontId="88" fillId="10" borderId="22" xfId="0" applyNumberFormat="1" applyFont="1" applyFill="1" applyBorder="1" applyProtection="1"/>
    <xf numFmtId="180" fontId="111" fillId="9" borderId="0" xfId="0" applyNumberFormat="1" applyFont="1" applyFill="1" applyBorder="1" applyAlignment="1" applyProtection="1">
      <alignment horizontal="center"/>
    </xf>
    <xf numFmtId="42" fontId="88" fillId="14" borderId="0" xfId="0" applyNumberFormat="1" applyFont="1" applyFill="1" applyBorder="1" applyProtection="1"/>
    <xf numFmtId="0" fontId="6" fillId="11" borderId="2" xfId="0" applyFont="1" applyFill="1" applyBorder="1" applyProtection="1"/>
    <xf numFmtId="171" fontId="6" fillId="11" borderId="24" xfId="0" applyNumberFormat="1" applyFont="1" applyFill="1" applyBorder="1" applyProtection="1"/>
    <xf numFmtId="0" fontId="6" fillId="11" borderId="4" xfId="0" applyFont="1" applyFill="1" applyBorder="1" applyProtection="1"/>
    <xf numFmtId="0" fontId="7" fillId="0" borderId="0" xfId="0" applyFont="1" applyFill="1"/>
    <xf numFmtId="0" fontId="112" fillId="9" borderId="0" xfId="0" applyFont="1" applyFill="1" applyBorder="1" applyAlignment="1" applyProtection="1">
      <alignment horizontal="center"/>
    </xf>
    <xf numFmtId="164" fontId="34" fillId="9" borderId="102" xfId="0" applyNumberFormat="1" applyFont="1" applyFill="1" applyBorder="1" applyAlignment="1" applyProtection="1">
      <alignment horizontal="center"/>
    </xf>
    <xf numFmtId="0" fontId="6" fillId="3" borderId="102" xfId="0" applyFont="1" applyFill="1" applyBorder="1" applyAlignment="1" applyProtection="1">
      <alignment horizontal="center"/>
    </xf>
    <xf numFmtId="0" fontId="42" fillId="2" borderId="101" xfId="0" applyFont="1" applyFill="1" applyBorder="1" applyAlignment="1" applyProtection="1">
      <alignment horizontal="center"/>
    </xf>
    <xf numFmtId="0" fontId="42" fillId="9" borderId="103" xfId="0" applyFont="1" applyFill="1" applyBorder="1" applyAlignment="1" applyProtection="1">
      <alignment horizontal="center"/>
    </xf>
    <xf numFmtId="0" fontId="6" fillId="3" borderId="100" xfId="0" applyFont="1" applyFill="1" applyBorder="1" applyAlignment="1" applyProtection="1">
      <alignment horizontal="center"/>
    </xf>
    <xf numFmtId="10" fontId="11" fillId="7" borderId="1" xfId="0" applyNumberFormat="1" applyFont="1" applyFill="1" applyBorder="1" applyProtection="1"/>
    <xf numFmtId="10" fontId="11" fillId="7" borderId="0" xfId="0" applyNumberFormat="1" applyFont="1" applyFill="1" applyBorder="1" applyProtection="1"/>
    <xf numFmtId="1" fontId="101" fillId="0" borderId="0" xfId="0" applyNumberFormat="1" applyFont="1" applyFill="1" applyAlignment="1" applyProtection="1">
      <alignment horizontal="center"/>
    </xf>
    <xf numFmtId="42" fontId="88" fillId="9" borderId="0" xfId="0" applyNumberFormat="1" applyFont="1" applyFill="1" applyBorder="1" applyProtection="1"/>
    <xf numFmtId="0" fontId="110" fillId="9" borderId="0" xfId="0" applyFont="1" applyFill="1" applyBorder="1" applyProtection="1"/>
    <xf numFmtId="49" fontId="134" fillId="3" borderId="1" xfId="0" applyNumberFormat="1" applyFont="1" applyFill="1" applyBorder="1" applyAlignment="1" applyProtection="1">
      <alignment horizontal="center"/>
    </xf>
    <xf numFmtId="0" fontId="134" fillId="3" borderId="1" xfId="0" applyFont="1" applyFill="1" applyBorder="1" applyAlignment="1" applyProtection="1">
      <alignment horizontal="center"/>
    </xf>
    <xf numFmtId="2" fontId="105" fillId="2" borderId="0" xfId="0" applyNumberFormat="1" applyFont="1" applyFill="1" applyBorder="1" applyProtection="1"/>
    <xf numFmtId="2" fontId="105" fillId="2" borderId="0" xfId="0" applyNumberFormat="1" applyFont="1" applyFill="1" applyBorder="1" applyAlignment="1" applyProtection="1">
      <alignment horizontal="left"/>
    </xf>
    <xf numFmtId="0" fontId="105" fillId="2" borderId="0" xfId="0" applyNumberFormat="1" applyFont="1" applyFill="1" applyBorder="1" applyProtection="1"/>
    <xf numFmtId="0" fontId="105" fillId="2" borderId="0" xfId="0" applyFont="1" applyFill="1" applyBorder="1" applyAlignment="1" applyProtection="1">
      <alignment horizontal="left"/>
    </xf>
    <xf numFmtId="0" fontId="105" fillId="11" borderId="0" xfId="0" applyFont="1" applyFill="1" applyBorder="1" applyProtection="1"/>
    <xf numFmtId="0" fontId="105" fillId="11" borderId="0" xfId="0" applyFont="1" applyFill="1" applyBorder="1"/>
    <xf numFmtId="0" fontId="15" fillId="3" borderId="0" xfId="0" applyFont="1" applyFill="1" applyProtection="1"/>
    <xf numFmtId="0" fontId="15" fillId="0" borderId="55" xfId="0" applyFont="1" applyFill="1" applyBorder="1" applyProtection="1"/>
    <xf numFmtId="0" fontId="68" fillId="0" borderId="0" xfId="0" applyFont="1" applyFill="1" applyBorder="1" applyAlignment="1" applyProtection="1">
      <alignment horizontal="center"/>
    </xf>
    <xf numFmtId="164" fontId="68" fillId="0" borderId="0" xfId="0" applyNumberFormat="1" applyFont="1" applyFill="1" applyBorder="1" applyAlignment="1" applyProtection="1">
      <alignment horizontal="center"/>
    </xf>
    <xf numFmtId="0" fontId="68" fillId="11" borderId="56" xfId="0" applyFont="1" applyFill="1" applyBorder="1" applyProtection="1"/>
    <xf numFmtId="0" fontId="68" fillId="3" borderId="0" xfId="0" applyFont="1" applyFill="1" applyBorder="1" applyProtection="1"/>
    <xf numFmtId="0" fontId="12" fillId="3" borderId="20" xfId="0" applyFont="1" applyFill="1" applyBorder="1" applyProtection="1"/>
    <xf numFmtId="0" fontId="122" fillId="11" borderId="104" xfId="0" applyFont="1" applyFill="1" applyBorder="1" applyProtection="1"/>
    <xf numFmtId="0" fontId="99" fillId="11" borderId="104" xfId="0" applyFont="1" applyFill="1" applyBorder="1" applyProtection="1"/>
    <xf numFmtId="0" fontId="99" fillId="11" borderId="104" xfId="0" applyFont="1" applyFill="1" applyBorder="1" applyAlignment="1" applyProtection="1">
      <alignment horizontal="center"/>
    </xf>
    <xf numFmtId="0" fontId="135" fillId="11" borderId="0" xfId="0" applyFont="1" applyFill="1" applyBorder="1" applyAlignment="1" applyProtection="1">
      <alignment horizontal="left"/>
    </xf>
    <xf numFmtId="0" fontId="99" fillId="11" borderId="0" xfId="0" applyFont="1" applyFill="1" applyBorder="1" applyProtection="1"/>
    <xf numFmtId="0" fontId="99" fillId="11" borderId="0" xfId="0" applyFont="1" applyFill="1" applyBorder="1" applyAlignment="1" applyProtection="1">
      <alignment horizontal="center"/>
    </xf>
    <xf numFmtId="0" fontId="136" fillId="11" borderId="0" xfId="0" applyFont="1" applyFill="1" applyBorder="1" applyAlignment="1" applyProtection="1">
      <alignment horizontal="center"/>
    </xf>
    <xf numFmtId="0" fontId="137" fillId="11" borderId="0" xfId="0" applyFont="1" applyFill="1" applyBorder="1" applyProtection="1"/>
    <xf numFmtId="44" fontId="99" fillId="11" borderId="0" xfId="0" applyNumberFormat="1" applyFont="1" applyFill="1" applyBorder="1" applyAlignment="1" applyProtection="1">
      <alignment horizontal="center"/>
    </xf>
    <xf numFmtId="164" fontId="99" fillId="11" borderId="0" xfId="0" applyNumberFormat="1" applyFont="1" applyFill="1" applyBorder="1" applyProtection="1"/>
    <xf numFmtId="0" fontId="122" fillId="11" borderId="0" xfId="0" applyFont="1" applyFill="1" applyBorder="1" applyProtection="1"/>
    <xf numFmtId="164" fontId="99" fillId="11" borderId="0" xfId="0" applyNumberFormat="1" applyFont="1" applyFill="1" applyBorder="1" applyAlignment="1" applyProtection="1">
      <alignment horizontal="center"/>
    </xf>
    <xf numFmtId="0" fontId="99" fillId="11" borderId="105" xfId="0" applyFont="1" applyFill="1" applyBorder="1" applyProtection="1"/>
    <xf numFmtId="0" fontId="99" fillId="11" borderId="106" xfId="0" applyFont="1" applyFill="1" applyBorder="1" applyProtection="1"/>
    <xf numFmtId="0" fontId="99" fillId="11" borderId="55" xfId="0" applyFont="1" applyFill="1" applyBorder="1" applyProtection="1"/>
    <xf numFmtId="0" fontId="99" fillId="11" borderId="56" xfId="0" applyFont="1" applyFill="1" applyBorder="1" applyProtection="1"/>
    <xf numFmtId="0" fontId="97" fillId="0" borderId="0" xfId="0" applyFont="1" applyFill="1" applyBorder="1" applyProtection="1"/>
    <xf numFmtId="164" fontId="11" fillId="0" borderId="0" xfId="0" applyNumberFormat="1" applyFont="1" applyFill="1" applyBorder="1" applyProtection="1"/>
    <xf numFmtId="0" fontId="11" fillId="9" borderId="53" xfId="0" applyFont="1" applyFill="1" applyBorder="1" applyProtection="1"/>
    <xf numFmtId="0" fontId="99" fillId="11" borderId="56" xfId="0" applyFont="1" applyFill="1" applyBorder="1" applyAlignment="1" applyProtection="1">
      <alignment horizontal="center"/>
    </xf>
    <xf numFmtId="0" fontId="116" fillId="9" borderId="53" xfId="0" applyFont="1" applyFill="1" applyBorder="1" applyProtection="1"/>
    <xf numFmtId="0" fontId="64" fillId="9" borderId="53" xfId="0" applyFont="1" applyFill="1" applyBorder="1" applyProtection="1"/>
    <xf numFmtId="0" fontId="64" fillId="9" borderId="53" xfId="0" applyFont="1" applyFill="1" applyBorder="1" applyAlignment="1" applyProtection="1">
      <alignment horizontal="center"/>
    </xf>
    <xf numFmtId="164" fontId="116" fillId="9" borderId="53" xfId="0" applyNumberFormat="1" applyFont="1" applyFill="1" applyBorder="1" applyProtection="1"/>
    <xf numFmtId="0" fontId="117" fillId="3" borderId="1" xfId="0" applyFont="1" applyFill="1" applyBorder="1" applyAlignment="1" applyProtection="1">
      <alignment horizontal="right"/>
    </xf>
    <xf numFmtId="1" fontId="86" fillId="9" borderId="1" xfId="0" applyNumberFormat="1" applyFont="1" applyFill="1" applyBorder="1" applyAlignment="1" applyProtection="1">
      <alignment horizontal="center"/>
    </xf>
    <xf numFmtId="166" fontId="6" fillId="9" borderId="1" xfId="0" applyNumberFormat="1" applyFont="1" applyFill="1" applyBorder="1" applyAlignment="1" applyProtection="1"/>
    <xf numFmtId="167" fontId="6" fillId="9" borderId="1" xfId="0" applyNumberFormat="1" applyFont="1" applyFill="1" applyBorder="1" applyAlignment="1" applyProtection="1"/>
    <xf numFmtId="0" fontId="138" fillId="0" borderId="0" xfId="0" applyFont="1" applyFill="1" applyBorder="1" applyProtection="1"/>
    <xf numFmtId="0" fontId="139" fillId="2" borderId="0" xfId="0" applyFont="1" applyFill="1" applyBorder="1" applyProtection="1"/>
    <xf numFmtId="0" fontId="102" fillId="9" borderId="0" xfId="0" applyFont="1" applyFill="1" applyBorder="1" applyAlignment="1" applyProtection="1">
      <alignment horizontal="right"/>
    </xf>
    <xf numFmtId="0" fontId="22" fillId="9" borderId="0" xfId="0" applyFont="1" applyFill="1" applyBorder="1" applyAlignment="1" applyProtection="1">
      <alignment horizontal="right"/>
    </xf>
    <xf numFmtId="0" fontId="104" fillId="9" borderId="0" xfId="0" applyFont="1" applyFill="1" applyBorder="1" applyAlignment="1" applyProtection="1">
      <alignment horizontal="center"/>
    </xf>
    <xf numFmtId="0" fontId="102" fillId="11" borderId="0" xfId="0" applyFont="1" applyFill="1" applyBorder="1" applyAlignment="1" applyProtection="1">
      <alignment horizontal="right"/>
    </xf>
    <xf numFmtId="0" fontId="22" fillId="11" borderId="0" xfId="0" applyFont="1" applyFill="1" applyBorder="1" applyAlignment="1" applyProtection="1">
      <alignment horizontal="right"/>
    </xf>
    <xf numFmtId="0" fontId="104" fillId="11" borderId="0" xfId="0" applyFont="1" applyFill="1" applyBorder="1" applyAlignment="1" applyProtection="1">
      <alignment horizontal="center"/>
    </xf>
    <xf numFmtId="44" fontId="6" fillId="11" borderId="0" xfId="0" applyNumberFormat="1" applyFont="1" applyFill="1" applyBorder="1" applyProtection="1"/>
    <xf numFmtId="0" fontId="15" fillId="11" borderId="43" xfId="0" applyFont="1" applyFill="1" applyBorder="1" applyProtection="1"/>
    <xf numFmtId="0" fontId="15" fillId="9" borderId="0" xfId="0" applyFont="1" applyFill="1" applyBorder="1" applyProtection="1"/>
    <xf numFmtId="42" fontId="15" fillId="7" borderId="22" xfId="0" applyNumberFormat="1" applyFont="1" applyFill="1" applyBorder="1" applyProtection="1"/>
    <xf numFmtId="42" fontId="15" fillId="9" borderId="0" xfId="0" applyNumberFormat="1" applyFont="1" applyFill="1" applyBorder="1" applyProtection="1"/>
    <xf numFmtId="0" fontId="15" fillId="11" borderId="6" xfId="0" applyFont="1" applyFill="1" applyBorder="1" applyProtection="1"/>
    <xf numFmtId="42" fontId="6" fillId="2" borderId="1" xfId="0" applyNumberFormat="1" applyFont="1" applyFill="1" applyBorder="1" applyAlignment="1" applyProtection="1">
      <alignment horizontal="center"/>
      <protection locked="0"/>
    </xf>
    <xf numFmtId="0" fontId="6" fillId="2" borderId="101" xfId="0" applyFont="1" applyFill="1" applyBorder="1" applyProtection="1"/>
    <xf numFmtId="0" fontId="7" fillId="2" borderId="101" xfId="0" applyFont="1" applyFill="1" applyBorder="1" applyAlignment="1" applyProtection="1">
      <alignment horizontal="right"/>
    </xf>
    <xf numFmtId="164" fontId="46" fillId="0" borderId="0" xfId="0" applyNumberFormat="1" applyFont="1" applyFill="1" applyBorder="1" applyProtection="1"/>
    <xf numFmtId="0" fontId="11" fillId="0" borderId="57" xfId="0" applyFont="1" applyFill="1" applyBorder="1" applyProtection="1"/>
    <xf numFmtId="0" fontId="116" fillId="0" borderId="58" xfId="0" applyFont="1" applyFill="1" applyBorder="1" applyProtection="1"/>
    <xf numFmtId="0" fontId="64" fillId="0" borderId="58" xfId="0" applyFont="1" applyFill="1" applyBorder="1" applyProtection="1"/>
    <xf numFmtId="0" fontId="64" fillId="0" borderId="58" xfId="0" applyFont="1" applyFill="1" applyBorder="1" applyAlignment="1" applyProtection="1">
      <alignment horizontal="center"/>
    </xf>
    <xf numFmtId="164" fontId="116" fillId="0" borderId="58" xfId="0" applyNumberFormat="1" applyFont="1" applyFill="1" applyBorder="1" applyProtection="1"/>
    <xf numFmtId="0" fontId="11" fillId="11" borderId="59" xfId="0" applyFont="1" applyFill="1" applyBorder="1" applyProtection="1"/>
    <xf numFmtId="42" fontId="6" fillId="3" borderId="0" xfId="0" applyNumberFormat="1" applyFont="1" applyFill="1" applyBorder="1" applyAlignment="1" applyProtection="1">
      <alignment horizontal="center"/>
    </xf>
    <xf numFmtId="42" fontId="104" fillId="9" borderId="0" xfId="0" applyNumberFormat="1" applyFont="1" applyFill="1" applyBorder="1" applyAlignment="1" applyProtection="1">
      <alignment horizontal="center"/>
    </xf>
    <xf numFmtId="164" fontId="140" fillId="3" borderId="1" xfId="0" applyNumberFormat="1" applyFont="1" applyFill="1" applyBorder="1" applyAlignment="1" applyProtection="1">
      <alignment horizontal="left"/>
    </xf>
    <xf numFmtId="0" fontId="85" fillId="3" borderId="14" xfId="0" applyFont="1" applyFill="1" applyBorder="1" applyAlignment="1" applyProtection="1">
      <alignment horizontal="left"/>
    </xf>
    <xf numFmtId="0" fontId="15" fillId="3" borderId="14" xfId="0" applyFont="1" applyFill="1" applyBorder="1" applyProtection="1"/>
    <xf numFmtId="164" fontId="6" fillId="3" borderId="14" xfId="0" applyNumberFormat="1" applyFont="1" applyFill="1" applyBorder="1" applyAlignment="1" applyProtection="1">
      <alignment horizontal="left"/>
    </xf>
    <xf numFmtId="164" fontId="7" fillId="2" borderId="101" xfId="0" applyNumberFormat="1" applyFont="1" applyFill="1" applyBorder="1" applyAlignment="1" applyProtection="1">
      <alignment horizontal="left"/>
    </xf>
    <xf numFmtId="0" fontId="120" fillId="3" borderId="9" xfId="0" applyFont="1" applyFill="1" applyBorder="1" applyProtection="1"/>
    <xf numFmtId="0" fontId="13" fillId="3" borderId="11" xfId="0" applyFont="1" applyFill="1" applyBorder="1" applyAlignment="1" applyProtection="1">
      <alignment horizontal="left"/>
    </xf>
    <xf numFmtId="0" fontId="7" fillId="3" borderId="11" xfId="0" applyFont="1" applyFill="1" applyBorder="1" applyAlignment="1" applyProtection="1">
      <alignment horizontal="center"/>
    </xf>
    <xf numFmtId="0" fontId="6" fillId="3" borderId="22" xfId="0" applyFont="1" applyFill="1" applyBorder="1" applyProtection="1"/>
    <xf numFmtId="0" fontId="13" fillId="3" borderId="22" xfId="0" applyFont="1" applyFill="1" applyBorder="1" applyProtection="1"/>
    <xf numFmtId="0" fontId="5" fillId="0" borderId="22" xfId="0" applyNumberFormat="1" applyFont="1" applyFill="1" applyBorder="1" applyAlignment="1" applyProtection="1">
      <alignment vertical="center"/>
      <protection locked="0"/>
    </xf>
    <xf numFmtId="0" fontId="5" fillId="9" borderId="22" xfId="0" applyNumberFormat="1" applyFont="1" applyFill="1" applyBorder="1" applyAlignment="1" applyProtection="1">
      <alignment vertical="center"/>
      <protection locked="0"/>
    </xf>
    <xf numFmtId="0" fontId="6" fillId="2" borderId="22" xfId="0" applyFont="1" applyFill="1" applyBorder="1" applyProtection="1">
      <protection locked="0"/>
    </xf>
    <xf numFmtId="0" fontId="7" fillId="3" borderId="22" xfId="0" applyFont="1" applyFill="1" applyBorder="1" applyProtection="1"/>
    <xf numFmtId="173" fontId="80" fillId="9" borderId="1" xfId="2" applyNumberFormat="1" applyFont="1" applyFill="1" applyBorder="1" applyAlignment="1" applyProtection="1">
      <alignment horizontal="center"/>
    </xf>
    <xf numFmtId="2" fontId="80" fillId="9" borderId="1" xfId="0" applyNumberFormat="1" applyFont="1" applyFill="1" applyBorder="1" applyAlignment="1" applyProtection="1">
      <alignment horizontal="center"/>
    </xf>
    <xf numFmtId="9" fontId="80" fillId="9" borderId="1" xfId="2" applyFont="1" applyFill="1" applyBorder="1" applyAlignment="1" applyProtection="1">
      <alignment horizontal="center"/>
    </xf>
    <xf numFmtId="9" fontId="80" fillId="5" borderId="1" xfId="2" applyNumberFormat="1" applyFont="1" applyFill="1" applyBorder="1" applyAlignment="1" applyProtection="1">
      <alignment horizontal="center"/>
    </xf>
    <xf numFmtId="164" fontId="11" fillId="2" borderId="1" xfId="0" applyNumberFormat="1" applyFont="1" applyFill="1" applyBorder="1" applyAlignment="1" applyProtection="1">
      <alignment horizontal="center"/>
    </xf>
    <xf numFmtId="164" fontId="6" fillId="2" borderId="1" xfId="0" applyNumberFormat="1" applyFont="1" applyFill="1" applyBorder="1" applyAlignment="1" applyProtection="1">
      <alignment horizontal="center"/>
    </xf>
    <xf numFmtId="164" fontId="6" fillId="11" borderId="1" xfId="0" applyNumberFormat="1" applyFont="1" applyFill="1" applyBorder="1" applyAlignment="1" applyProtection="1">
      <alignment horizontal="center"/>
    </xf>
    <xf numFmtId="164" fontId="11" fillId="13" borderId="1" xfId="0" applyNumberFormat="1" applyFont="1" applyFill="1" applyBorder="1" applyAlignment="1" applyProtection="1">
      <alignment horizontal="center"/>
    </xf>
    <xf numFmtId="164" fontId="6" fillId="2" borderId="1" xfId="0" applyNumberFormat="1" applyFont="1" applyFill="1" applyBorder="1" applyAlignment="1" applyProtection="1">
      <alignment horizontal="left"/>
    </xf>
    <xf numFmtId="42" fontId="6" fillId="0" borderId="22" xfId="0" applyNumberFormat="1" applyFont="1" applyFill="1" applyBorder="1" applyProtection="1">
      <protection locked="0"/>
    </xf>
    <xf numFmtId="42" fontId="15" fillId="0" borderId="22" xfId="0" applyNumberFormat="1" applyFont="1" applyFill="1" applyBorder="1" applyProtection="1">
      <protection locked="0"/>
    </xf>
    <xf numFmtId="164" fontId="6" fillId="7" borderId="1" xfId="0" applyNumberFormat="1" applyFont="1" applyFill="1" applyBorder="1" applyAlignment="1" applyProtection="1">
      <alignment horizontal="center"/>
    </xf>
    <xf numFmtId="164" fontId="6" fillId="0" borderId="1" xfId="0" applyNumberFormat="1" applyFont="1" applyFill="1" applyBorder="1" applyAlignment="1" applyProtection="1">
      <alignment horizontal="center"/>
      <protection locked="0"/>
    </xf>
    <xf numFmtId="167" fontId="101" fillId="7" borderId="0" xfId="0" applyNumberFormat="1" applyFont="1" applyFill="1" applyAlignment="1" applyProtection="1">
      <alignment horizontal="right"/>
      <protection locked="0"/>
    </xf>
    <xf numFmtId="167" fontId="141" fillId="0" borderId="0" xfId="0" applyNumberFormat="1" applyFont="1" applyFill="1" applyAlignment="1" applyProtection="1">
      <alignment horizontal="right"/>
    </xf>
    <xf numFmtId="164" fontId="6" fillId="13" borderId="1" xfId="0" applyNumberFormat="1" applyFont="1" applyFill="1" applyBorder="1" applyAlignment="1" applyProtection="1">
      <alignment horizontal="center"/>
    </xf>
    <xf numFmtId="164" fontId="15" fillId="0" borderId="1" xfId="0" applyNumberFormat="1" applyFont="1" applyFill="1" applyBorder="1" applyAlignment="1" applyProtection="1">
      <alignment horizontal="left"/>
      <protection locked="0"/>
    </xf>
    <xf numFmtId="164" fontId="15" fillId="5" borderId="1" xfId="0" applyNumberFormat="1" applyFont="1" applyFill="1" applyBorder="1" applyAlignment="1" applyProtection="1">
      <alignment horizontal="left"/>
    </xf>
    <xf numFmtId="42" fontId="6" fillId="7" borderId="1" xfId="0" applyNumberFormat="1" applyFont="1" applyFill="1" applyBorder="1" applyAlignment="1" applyProtection="1">
      <alignment horizontal="left"/>
    </xf>
    <xf numFmtId="0" fontId="138" fillId="0" borderId="108" xfId="0" applyFont="1" applyFill="1" applyBorder="1" applyProtection="1"/>
    <xf numFmtId="42" fontId="6" fillId="0" borderId="22" xfId="0" applyNumberFormat="1" applyFont="1" applyFill="1" applyBorder="1" applyProtection="1"/>
    <xf numFmtId="0" fontId="6" fillId="0" borderId="0" xfId="0" applyFont="1" applyFill="1"/>
    <xf numFmtId="10" fontId="89" fillId="0" borderId="0" xfId="0" applyNumberFormat="1" applyFont="1" applyFill="1" applyBorder="1" applyAlignment="1" applyProtection="1">
      <alignment horizontal="left"/>
    </xf>
    <xf numFmtId="3" fontId="89" fillId="0" borderId="0" xfId="0" applyNumberFormat="1" applyFont="1" applyFill="1" applyBorder="1" applyAlignment="1" applyProtection="1">
      <alignment horizontal="left"/>
    </xf>
    <xf numFmtId="0" fontId="6" fillId="0" borderId="0" xfId="0" applyFont="1" applyBorder="1" applyAlignment="1" applyProtection="1">
      <alignment horizontal="left"/>
    </xf>
    <xf numFmtId="0" fontId="6" fillId="0" borderId="0" xfId="0" applyFont="1" applyFill="1" applyBorder="1" applyAlignment="1" applyProtection="1">
      <alignment horizontal="left"/>
    </xf>
    <xf numFmtId="184" fontId="6" fillId="3" borderId="0" xfId="0" applyNumberFormat="1" applyFont="1" applyFill="1" applyProtection="1"/>
    <xf numFmtId="184" fontId="6" fillId="7" borderId="1" xfId="0" applyNumberFormat="1" applyFont="1" applyFill="1" applyBorder="1" applyAlignment="1" applyProtection="1">
      <alignment horizontal="center"/>
      <protection locked="0"/>
    </xf>
    <xf numFmtId="0" fontId="142" fillId="3" borderId="1" xfId="0" applyFont="1" applyFill="1" applyBorder="1" applyAlignment="1" applyProtection="1">
      <alignment horizontal="right"/>
    </xf>
    <xf numFmtId="181" fontId="90" fillId="9" borderId="21" xfId="0" applyNumberFormat="1" applyFont="1" applyFill="1" applyBorder="1" applyAlignment="1" applyProtection="1">
      <alignment horizontal="center"/>
    </xf>
    <xf numFmtId="0" fontId="7" fillId="8" borderId="63" xfId="0" applyFont="1" applyFill="1" applyBorder="1" applyAlignment="1" applyProtection="1">
      <alignment horizontal="left"/>
    </xf>
    <xf numFmtId="0" fontId="13" fillId="8" borderId="66" xfId="0" applyFont="1" applyFill="1" applyBorder="1" applyAlignment="1" applyProtection="1">
      <alignment horizontal="left"/>
    </xf>
    <xf numFmtId="0" fontId="39" fillId="8" borderId="90" xfId="0" applyFont="1" applyFill="1" applyBorder="1" applyAlignment="1" applyProtection="1"/>
    <xf numFmtId="0" fontId="13" fillId="0" borderId="0" xfId="0" applyFont="1" applyFill="1" applyBorder="1" applyAlignment="1" applyProtection="1">
      <alignment horizontal="center"/>
    </xf>
    <xf numFmtId="0" fontId="41" fillId="9" borderId="1" xfId="0" applyFont="1" applyFill="1" applyBorder="1" applyAlignment="1" applyProtection="1">
      <alignment horizontal="center"/>
    </xf>
    <xf numFmtId="0" fontId="6" fillId="2" borderId="1" xfId="0" applyNumberFormat="1" applyFont="1" applyFill="1" applyBorder="1" applyAlignment="1" applyProtection="1">
      <alignment horizontal="center"/>
      <protection locked="0"/>
    </xf>
    <xf numFmtId="182" fontId="6" fillId="11" borderId="101" xfId="0" applyNumberFormat="1" applyFont="1" applyFill="1" applyBorder="1" applyAlignment="1" applyProtection="1">
      <alignment horizontal="center"/>
    </xf>
    <xf numFmtId="0" fontId="6" fillId="2" borderId="101" xfId="0" applyFont="1" applyFill="1" applyBorder="1" applyAlignment="1" applyProtection="1">
      <alignment horizontal="center"/>
    </xf>
    <xf numFmtId="0" fontId="14" fillId="2" borderId="39" xfId="0" applyFont="1" applyFill="1" applyBorder="1" applyProtection="1"/>
    <xf numFmtId="0" fontId="7" fillId="2" borderId="39" xfId="0" applyFont="1" applyFill="1" applyBorder="1" applyProtection="1"/>
    <xf numFmtId="0" fontId="15" fillId="2" borderId="39" xfId="0" applyFont="1" applyFill="1" applyBorder="1" applyProtection="1"/>
    <xf numFmtId="0" fontId="13" fillId="2" borderId="39" xfId="0" applyFont="1" applyFill="1" applyBorder="1" applyAlignment="1" applyProtection="1">
      <alignment horizontal="center"/>
    </xf>
    <xf numFmtId="0" fontId="6" fillId="2" borderId="39" xfId="0" applyFont="1" applyFill="1" applyBorder="1" applyAlignment="1" applyProtection="1">
      <alignment horizontal="center"/>
    </xf>
    <xf numFmtId="0" fontId="46" fillId="0" borderId="60" xfId="0" applyFont="1" applyFill="1" applyBorder="1" applyAlignment="1" applyProtection="1">
      <alignment horizontal="left"/>
    </xf>
    <xf numFmtId="1" fontId="143" fillId="0" borderId="0" xfId="0" applyNumberFormat="1" applyFont="1" applyAlignment="1" applyProtection="1">
      <alignment horizontal="left"/>
    </xf>
    <xf numFmtId="1" fontId="0" fillId="0" borderId="0" xfId="0" applyNumberFormat="1" applyProtection="1"/>
    <xf numFmtId="1" fontId="144" fillId="0" borderId="0" xfId="0" applyNumberFormat="1" applyFont="1" applyAlignment="1" applyProtection="1">
      <alignment horizontal="right"/>
    </xf>
    <xf numFmtId="14" fontId="5" fillId="16" borderId="0" xfId="0" applyNumberFormat="1" applyFont="1" applyFill="1" applyProtection="1"/>
    <xf numFmtId="1" fontId="145" fillId="0" borderId="0" xfId="0" applyNumberFormat="1" applyFont="1" applyProtection="1"/>
    <xf numFmtId="1" fontId="145" fillId="0" borderId="0" xfId="0" applyNumberFormat="1" applyFont="1" applyAlignment="1" applyProtection="1">
      <alignment horizontal="right"/>
    </xf>
    <xf numFmtId="10" fontId="144" fillId="15" borderId="0" xfId="0" applyNumberFormat="1" applyFont="1" applyFill="1" applyProtection="1"/>
    <xf numFmtId="1" fontId="5" fillId="0" borderId="0" xfId="0" applyNumberFormat="1" applyFont="1" applyProtection="1"/>
    <xf numFmtId="1" fontId="5" fillId="0" borderId="0" xfId="0" applyNumberFormat="1" applyFont="1" applyAlignment="1" applyProtection="1">
      <alignment horizontal="right"/>
    </xf>
    <xf numFmtId="1" fontId="0" fillId="0" borderId="0" xfId="0" applyNumberFormat="1" applyFill="1" applyAlignment="1" applyProtection="1">
      <alignment horizontal="right"/>
    </xf>
    <xf numFmtId="3" fontId="0" fillId="0" borderId="0" xfId="0" applyNumberFormat="1" applyFill="1" applyProtection="1"/>
    <xf numFmtId="1" fontId="0" fillId="0" borderId="0" xfId="0" applyNumberFormat="1" applyFill="1" applyProtection="1"/>
    <xf numFmtId="1" fontId="5" fillId="0" borderId="0" xfId="0" applyNumberFormat="1" applyFont="1" applyFill="1" applyProtection="1"/>
    <xf numFmtId="1" fontId="145" fillId="0" borderId="0" xfId="0" applyNumberFormat="1" applyFont="1" applyFill="1" applyAlignment="1" applyProtection="1">
      <alignment horizontal="left"/>
    </xf>
    <xf numFmtId="10" fontId="144" fillId="0" borderId="0" xfId="0" applyNumberFormat="1" applyFont="1" applyFill="1" applyProtection="1"/>
    <xf numFmtId="0" fontId="0" fillId="0" borderId="0" xfId="0" applyProtection="1"/>
    <xf numFmtId="1" fontId="0" fillId="0" borderId="0" xfId="0" applyNumberFormat="1" applyAlignment="1" applyProtection="1">
      <alignment horizontal="right"/>
    </xf>
    <xf numFmtId="49" fontId="89" fillId="0" borderId="0" xfId="0" applyNumberFormat="1" applyFont="1" applyFill="1" applyAlignment="1" applyProtection="1">
      <alignment horizontal="center"/>
    </xf>
    <xf numFmtId="1" fontId="67" fillId="0" borderId="0" xfId="0" applyNumberFormat="1" applyFont="1" applyFill="1" applyBorder="1" applyAlignment="1" applyProtection="1">
      <alignment horizontal="center"/>
    </xf>
    <xf numFmtId="0" fontId="68" fillId="0" borderId="45" xfId="0" applyNumberFormat="1" applyFont="1" applyFill="1" applyBorder="1" applyAlignment="1" applyProtection="1">
      <alignment horizontal="center"/>
    </xf>
    <xf numFmtId="0" fontId="39" fillId="2" borderId="0" xfId="0" applyNumberFormat="1" applyFont="1" applyFill="1" applyBorder="1" applyAlignment="1" applyProtection="1">
      <alignment horizontal="center"/>
    </xf>
    <xf numFmtId="0" fontId="104" fillId="0" borderId="107" xfId="0" applyNumberFormat="1" applyFont="1" applyFill="1" applyBorder="1" applyAlignment="1" applyProtection="1">
      <alignment horizontal="center"/>
    </xf>
    <xf numFmtId="0" fontId="130" fillId="0" borderId="0" xfId="0" applyFont="1" applyAlignment="1" applyProtection="1">
      <alignment horizontal="right"/>
    </xf>
    <xf numFmtId="167" fontId="146" fillId="0" borderId="0" xfId="0" applyNumberFormat="1" applyFont="1" applyFill="1" applyAlignment="1" applyProtection="1">
      <alignment horizontal="right"/>
    </xf>
    <xf numFmtId="164" fontId="6" fillId="0" borderId="1" xfId="0" applyNumberFormat="1" applyFont="1" applyFill="1" applyBorder="1" applyAlignment="1" applyProtection="1">
      <alignment horizontal="left"/>
    </xf>
    <xf numFmtId="188" fontId="79" fillId="0" borderId="0" xfId="0" applyNumberFormat="1" applyFont="1"/>
    <xf numFmtId="169" fontId="11" fillId="11" borderId="0" xfId="0" applyNumberFormat="1" applyFont="1" applyFill="1" applyBorder="1" applyAlignment="1" applyProtection="1">
      <alignment horizontal="center"/>
    </xf>
    <xf numFmtId="184" fontId="89" fillId="0" borderId="0" xfId="0" applyNumberFormat="1" applyFont="1" applyFill="1" applyAlignment="1" applyProtection="1">
      <alignment horizontal="center"/>
    </xf>
    <xf numFmtId="167" fontId="89" fillId="0" borderId="0" xfId="0" applyNumberFormat="1" applyFont="1" applyFill="1" applyBorder="1" applyProtection="1"/>
    <xf numFmtId="0" fontId="89" fillId="0" borderId="0" xfId="0" applyFont="1" applyBorder="1" applyProtection="1"/>
    <xf numFmtId="14" fontId="89" fillId="0" borderId="0" xfId="0" applyNumberFormat="1" applyFont="1" applyProtection="1"/>
    <xf numFmtId="44" fontId="89" fillId="0" borderId="0" xfId="0" applyNumberFormat="1" applyFont="1" applyFill="1" applyProtection="1"/>
    <xf numFmtId="184" fontId="6" fillId="0" borderId="0" xfId="0" applyNumberFormat="1" applyFont="1" applyFill="1" applyBorder="1" applyAlignment="1" applyProtection="1">
      <alignment horizontal="left"/>
    </xf>
    <xf numFmtId="3" fontId="6" fillId="0" borderId="0" xfId="0" applyNumberFormat="1" applyFont="1" applyFill="1" applyBorder="1" applyAlignment="1" applyProtection="1">
      <alignment horizontal="left"/>
    </xf>
    <xf numFmtId="173" fontId="89" fillId="5" borderId="0" xfId="0" applyNumberFormat="1" applyFont="1" applyFill="1" applyBorder="1" applyAlignment="1" applyProtection="1">
      <alignment horizontal="left"/>
      <protection locked="0"/>
    </xf>
    <xf numFmtId="165" fontId="89" fillId="0" borderId="0" xfId="0" applyNumberFormat="1" applyFont="1" applyFill="1" applyProtection="1">
      <protection locked="0"/>
    </xf>
    <xf numFmtId="44" fontId="89" fillId="0" borderId="0" xfId="0" applyNumberFormat="1" applyFont="1" applyFill="1" applyProtection="1">
      <protection locked="0"/>
    </xf>
    <xf numFmtId="184" fontId="89" fillId="0" borderId="0" xfId="0" applyNumberFormat="1" applyFont="1" applyAlignment="1" applyProtection="1">
      <alignment horizontal="right"/>
    </xf>
    <xf numFmtId="184" fontId="89" fillId="0" borderId="0" xfId="0" applyNumberFormat="1" applyFont="1" applyFill="1" applyBorder="1" applyAlignment="1" applyProtection="1">
      <alignment horizontal="right"/>
    </xf>
    <xf numFmtId="2" fontId="89" fillId="13" borderId="0" xfId="0" applyNumberFormat="1" applyFont="1" applyFill="1" applyAlignment="1" applyProtection="1">
      <alignment horizontal="right"/>
    </xf>
    <xf numFmtId="0" fontId="6" fillId="11" borderId="101" xfId="0" applyFont="1" applyFill="1" applyBorder="1" applyAlignment="1" applyProtection="1">
      <alignment horizontal="center"/>
    </xf>
    <xf numFmtId="0" fontId="119" fillId="0" borderId="0" xfId="0" applyFont="1" applyFill="1" applyBorder="1" applyAlignment="1" applyProtection="1">
      <alignment horizontal="center"/>
    </xf>
    <xf numFmtId="0" fontId="119" fillId="11" borderId="0" xfId="0" applyFont="1" applyFill="1" applyBorder="1" applyAlignment="1" applyProtection="1">
      <alignment horizontal="center"/>
    </xf>
    <xf numFmtId="0" fontId="6" fillId="11" borderId="0" xfId="0" applyFont="1" applyFill="1"/>
    <xf numFmtId="179" fontId="130" fillId="0" borderId="0" xfId="0" applyNumberFormat="1" applyFont="1" applyFill="1" applyProtection="1"/>
    <xf numFmtId="0" fontId="124" fillId="0" borderId="0" xfId="0" applyFont="1" applyFill="1" applyBorder="1" applyAlignment="1" applyProtection="1">
      <alignment horizontal="center"/>
    </xf>
    <xf numFmtId="165" fontId="6" fillId="2" borderId="45" xfId="3" applyNumberFormat="1" applyFont="1" applyFill="1" applyBorder="1" applyProtection="1">
      <protection locked="0"/>
    </xf>
    <xf numFmtId="44" fontId="89" fillId="0" borderId="45" xfId="0" applyNumberFormat="1" applyFont="1" applyFill="1" applyBorder="1" applyAlignment="1" applyProtection="1">
      <alignment horizontal="center"/>
      <protection locked="0"/>
    </xf>
    <xf numFmtId="10" fontId="6" fillId="7" borderId="22" xfId="0" applyNumberFormat="1" applyFont="1" applyFill="1" applyBorder="1" applyAlignment="1" applyProtection="1">
      <alignment horizontal="center"/>
    </xf>
    <xf numFmtId="10" fontId="6" fillId="0" borderId="22" xfId="0" applyNumberFormat="1" applyFont="1" applyFill="1" applyBorder="1" applyAlignment="1" applyProtection="1">
      <alignment horizontal="center"/>
      <protection locked="0"/>
    </xf>
    <xf numFmtId="10" fontId="6" fillId="7" borderId="22" xfId="0" applyNumberFormat="1" applyFont="1" applyFill="1" applyBorder="1" applyAlignment="1" applyProtection="1">
      <alignment horizontal="center"/>
      <protection locked="0"/>
    </xf>
    <xf numFmtId="164" fontId="96" fillId="10" borderId="1" xfId="0" applyNumberFormat="1" applyFont="1" applyFill="1" applyBorder="1" applyAlignment="1" applyProtection="1">
      <alignment horizontal="center"/>
      <protection locked="0"/>
    </xf>
    <xf numFmtId="164" fontId="11" fillId="9" borderId="1" xfId="0" applyNumberFormat="1" applyFont="1" applyFill="1" applyBorder="1" applyAlignment="1" applyProtection="1"/>
    <xf numFmtId="1" fontId="147" fillId="0" borderId="0" xfId="0" applyNumberFormat="1" applyFont="1" applyProtection="1"/>
    <xf numFmtId="3" fontId="0" fillId="17" borderId="0" xfId="0" applyNumberFormat="1" applyFill="1" applyProtection="1"/>
    <xf numFmtId="1" fontId="1" fillId="0" borderId="0" xfId="0" applyNumberFormat="1" applyFont="1" applyProtection="1"/>
    <xf numFmtId="0" fontId="1" fillId="9" borderId="0" xfId="0" applyFont="1" applyFill="1" applyBorder="1" applyAlignment="1" applyProtection="1">
      <alignment horizontal="left"/>
    </xf>
    <xf numFmtId="164" fontId="42" fillId="9" borderId="1" xfId="0" applyNumberFormat="1" applyFont="1" applyFill="1" applyBorder="1" applyProtection="1"/>
    <xf numFmtId="0" fontId="1" fillId="0" borderId="0" xfId="0" applyFont="1" applyFill="1" applyBorder="1" applyAlignment="1" applyProtection="1">
      <alignment horizontal="left"/>
    </xf>
    <xf numFmtId="10" fontId="76" fillId="0" borderId="0" xfId="0" applyNumberFormat="1" applyFont="1" applyFill="1" applyBorder="1" applyAlignment="1" applyProtection="1">
      <alignment horizontal="left"/>
    </xf>
    <xf numFmtId="44" fontId="76" fillId="0" borderId="0" xfId="0" applyNumberFormat="1" applyFont="1" applyFill="1" applyBorder="1" applyAlignment="1" applyProtection="1">
      <alignment horizontal="left"/>
    </xf>
    <xf numFmtId="0" fontId="148" fillId="0" borderId="0" xfId="0" applyFont="1"/>
    <xf numFmtId="184" fontId="89" fillId="0" borderId="0" xfId="0" applyNumberFormat="1" applyFont="1" applyAlignment="1" applyProtection="1"/>
    <xf numFmtId="184" fontId="89" fillId="0" borderId="0" xfId="0" applyNumberFormat="1" applyFont="1" applyFill="1" applyBorder="1" applyAlignment="1" applyProtection="1"/>
    <xf numFmtId="184" fontId="89" fillId="0" borderId="0" xfId="0" applyNumberFormat="1" applyFont="1" applyFill="1" applyAlignment="1" applyProtection="1">
      <alignment horizontal="center"/>
      <protection locked="0"/>
    </xf>
    <xf numFmtId="0" fontId="6" fillId="0" borderId="0" xfId="0" applyFont="1" applyFill="1" applyBorder="1" applyAlignment="1" applyProtection="1">
      <alignment horizontal="right"/>
    </xf>
    <xf numFmtId="184" fontId="89" fillId="0" borderId="0" xfId="0" applyNumberFormat="1" applyFont="1" applyFill="1" applyBorder="1" applyAlignment="1" applyProtection="1">
      <alignment horizontal="center"/>
      <protection locked="0"/>
    </xf>
    <xf numFmtId="167" fontId="89" fillId="7" borderId="0" xfId="0" applyNumberFormat="1" applyFont="1" applyFill="1" applyProtection="1"/>
    <xf numFmtId="2" fontId="89" fillId="0" borderId="0" xfId="0" applyNumberFormat="1" applyFont="1" applyFill="1" applyProtection="1">
      <protection locked="0"/>
    </xf>
    <xf numFmtId="1" fontId="0" fillId="0" borderId="0" xfId="0" applyNumberFormat="1"/>
    <xf numFmtId="1" fontId="76" fillId="0" borderId="0" xfId="0" applyNumberFormat="1" applyFont="1" applyAlignment="1">
      <alignment horizontal="right"/>
    </xf>
    <xf numFmtId="14" fontId="89" fillId="7" borderId="0" xfId="0" applyNumberFormat="1" applyFont="1" applyFill="1"/>
    <xf numFmtId="1" fontId="76" fillId="0" borderId="0" xfId="0" applyNumberFormat="1" applyFont="1" applyAlignment="1">
      <alignment horizontal="center"/>
    </xf>
    <xf numFmtId="1" fontId="76" fillId="0" borderId="0" xfId="0" applyNumberFormat="1" applyFont="1"/>
    <xf numFmtId="1" fontId="0" fillId="0" borderId="0" xfId="0" applyNumberFormat="1" applyAlignment="1">
      <alignment horizontal="right"/>
    </xf>
    <xf numFmtId="164" fontId="99" fillId="18" borderId="0" xfId="0" applyNumberFormat="1" applyFont="1" applyFill="1" applyBorder="1" applyAlignment="1" applyProtection="1">
      <alignment horizontal="center"/>
    </xf>
    <xf numFmtId="42" fontId="11" fillId="9" borderId="1" xfId="0" applyNumberFormat="1" applyFont="1" applyFill="1" applyBorder="1" applyProtection="1"/>
    <xf numFmtId="42" fontId="89" fillId="9" borderId="1" xfId="0" applyNumberFormat="1" applyFont="1" applyFill="1" applyBorder="1" applyProtection="1"/>
    <xf numFmtId="42" fontId="89" fillId="9" borderId="0" xfId="0" applyNumberFormat="1" applyFont="1" applyFill="1" applyBorder="1" applyProtection="1"/>
    <xf numFmtId="42" fontId="113" fillId="9" borderId="1" xfId="0" applyNumberFormat="1" applyFont="1" applyFill="1" applyBorder="1" applyProtection="1"/>
    <xf numFmtId="1" fontId="112" fillId="9" borderId="1" xfId="0" applyNumberFormat="1" applyFont="1" applyFill="1" applyBorder="1" applyAlignment="1" applyProtection="1">
      <alignment horizontal="center"/>
    </xf>
    <xf numFmtId="164" fontId="11" fillId="9" borderId="1" xfId="0" applyNumberFormat="1" applyFont="1" applyFill="1" applyBorder="1" applyAlignment="1" applyProtection="1">
      <alignment horizontal="center"/>
      <protection locked="0"/>
    </xf>
    <xf numFmtId="0" fontId="11" fillId="9" borderId="49" xfId="0" applyFont="1" applyFill="1" applyBorder="1" applyAlignment="1" applyProtection="1">
      <alignment horizontal="center"/>
    </xf>
    <xf numFmtId="0" fontId="6" fillId="9" borderId="51" xfId="0" applyFont="1" applyFill="1" applyBorder="1" applyAlignment="1" applyProtection="1">
      <alignment horizontal="center"/>
    </xf>
    <xf numFmtId="0" fontId="6" fillId="9" borderId="14" xfId="0" applyFont="1" applyFill="1" applyBorder="1" applyAlignment="1" applyProtection="1">
      <alignment horizontal="center"/>
    </xf>
    <xf numFmtId="164" fontId="96" fillId="9" borderId="1" xfId="0" applyNumberFormat="1" applyFont="1" applyFill="1" applyBorder="1" applyAlignment="1" applyProtection="1">
      <alignment horizontal="center"/>
      <protection locked="0"/>
    </xf>
    <xf numFmtId="164" fontId="6" fillId="9" borderId="1" xfId="0" applyNumberFormat="1" applyFont="1" applyFill="1" applyBorder="1" applyAlignment="1" applyProtection="1">
      <alignment horizontal="center"/>
      <protection locked="0"/>
    </xf>
    <xf numFmtId="0" fontId="11" fillId="9" borderId="84" xfId="0" applyFont="1" applyFill="1" applyBorder="1" applyAlignment="1" applyProtection="1">
      <alignment horizontal="center"/>
    </xf>
    <xf numFmtId="0" fontId="11" fillId="9" borderId="20" xfId="0" applyFont="1" applyFill="1" applyBorder="1" applyAlignment="1" applyProtection="1">
      <alignment horizontal="center"/>
    </xf>
    <xf numFmtId="164" fontId="96" fillId="9" borderId="9" xfId="0" applyNumberFormat="1" applyFont="1" applyFill="1" applyBorder="1" applyAlignment="1" applyProtection="1">
      <alignment horizontal="center"/>
    </xf>
    <xf numFmtId="0" fontId="6" fillId="9" borderId="29" xfId="0" applyFont="1" applyFill="1" applyBorder="1" applyAlignment="1" applyProtection="1">
      <alignment horizontal="center"/>
    </xf>
    <xf numFmtId="1" fontId="39" fillId="9" borderId="109" xfId="0" applyNumberFormat="1" applyFont="1" applyFill="1" applyBorder="1" applyAlignment="1" applyProtection="1">
      <alignment horizontal="center"/>
    </xf>
    <xf numFmtId="0" fontId="6" fillId="11" borderId="1" xfId="0" applyFont="1" applyFill="1" applyBorder="1" applyAlignment="1" applyProtection="1">
      <alignment horizontal="center"/>
      <protection locked="0"/>
    </xf>
    <xf numFmtId="164" fontId="43" fillId="9" borderId="1" xfId="0" applyNumberFormat="1" applyFont="1" applyFill="1" applyBorder="1" applyAlignment="1" applyProtection="1"/>
    <xf numFmtId="42" fontId="43" fillId="9" borderId="1" xfId="0" applyNumberFormat="1" applyFont="1" applyFill="1" applyBorder="1" applyAlignment="1" applyProtection="1"/>
    <xf numFmtId="166" fontId="42" fillId="9" borderId="1" xfId="0" applyNumberFormat="1" applyFont="1" applyFill="1" applyBorder="1" applyAlignment="1" applyProtection="1"/>
    <xf numFmtId="167" fontId="42" fillId="9" borderId="1" xfId="0" applyNumberFormat="1" applyFont="1" applyFill="1" applyBorder="1" applyAlignment="1" applyProtection="1"/>
    <xf numFmtId="0" fontId="11" fillId="9" borderId="1" xfId="0" applyFont="1" applyFill="1" applyBorder="1" applyAlignment="1" applyProtection="1"/>
    <xf numFmtId="164" fontId="42" fillId="9" borderId="1" xfId="0" applyNumberFormat="1" applyFont="1" applyFill="1" applyBorder="1" applyAlignment="1" applyProtection="1"/>
    <xf numFmtId="0" fontId="11" fillId="9" borderId="18" xfId="0" applyFont="1" applyFill="1" applyBorder="1" applyAlignment="1" applyProtection="1">
      <alignment horizontal="center"/>
    </xf>
    <xf numFmtId="0" fontId="7" fillId="9" borderId="1" xfId="0" applyFont="1" applyFill="1" applyBorder="1" applyProtection="1"/>
    <xf numFmtId="42" fontId="6" fillId="9" borderId="1" xfId="0" applyNumberFormat="1" applyFont="1" applyFill="1" applyBorder="1" applyAlignment="1" applyProtection="1">
      <alignment horizontal="center"/>
    </xf>
    <xf numFmtId="42" fontId="88" fillId="9" borderId="1" xfId="0" applyNumberFormat="1" applyFont="1" applyFill="1" applyBorder="1" applyAlignment="1" applyProtection="1">
      <alignment horizontal="center"/>
    </xf>
    <xf numFmtId="0" fontId="6" fillId="9" borderId="85" xfId="0" applyFont="1" applyFill="1" applyBorder="1" applyAlignment="1" applyProtection="1">
      <alignment horizontal="center"/>
    </xf>
    <xf numFmtId="0" fontId="11" fillId="9" borderId="85" xfId="0" applyFont="1" applyFill="1" applyBorder="1" applyAlignment="1" applyProtection="1">
      <alignment horizontal="center"/>
    </xf>
    <xf numFmtId="164" fontId="6" fillId="9" borderId="1" xfId="0" applyNumberFormat="1" applyFont="1" applyFill="1" applyBorder="1" applyAlignment="1" applyProtection="1">
      <alignment horizontal="left"/>
    </xf>
    <xf numFmtId="164" fontId="15" fillId="9" borderId="1" xfId="0" applyNumberFormat="1" applyFont="1" applyFill="1" applyBorder="1" applyAlignment="1" applyProtection="1">
      <alignment horizontal="left"/>
    </xf>
    <xf numFmtId="164" fontId="6" fillId="9" borderId="1" xfId="3" applyNumberFormat="1" applyFont="1" applyFill="1" applyBorder="1" applyAlignment="1" applyProtection="1">
      <alignment horizontal="left"/>
    </xf>
    <xf numFmtId="42" fontId="6" fillId="9" borderId="1" xfId="0" applyNumberFormat="1" applyFont="1" applyFill="1" applyBorder="1" applyAlignment="1" applyProtection="1">
      <alignment horizontal="left"/>
    </xf>
    <xf numFmtId="164" fontId="34" fillId="9" borderId="1" xfId="0" applyNumberFormat="1" applyFont="1" applyFill="1" applyBorder="1" applyAlignment="1" applyProtection="1">
      <alignment horizontal="left"/>
    </xf>
    <xf numFmtId="164" fontId="6" fillId="9" borderId="1" xfId="0" applyNumberFormat="1" applyFont="1" applyFill="1" applyBorder="1" applyAlignment="1" applyProtection="1">
      <alignment horizontal="left"/>
      <protection locked="0"/>
    </xf>
    <xf numFmtId="42" fontId="6" fillId="9" borderId="22" xfId="0" applyNumberFormat="1" applyFont="1" applyFill="1" applyBorder="1" applyProtection="1"/>
    <xf numFmtId="42" fontId="15" fillId="9" borderId="22" xfId="0" applyNumberFormat="1" applyFont="1" applyFill="1" applyBorder="1" applyProtection="1"/>
    <xf numFmtId="42" fontId="88" fillId="9" borderId="22" xfId="0" applyNumberFormat="1" applyFont="1" applyFill="1" applyBorder="1" applyProtection="1"/>
    <xf numFmtId="164" fontId="7" fillId="9" borderId="1" xfId="0" applyNumberFormat="1" applyFont="1" applyFill="1" applyBorder="1" applyAlignment="1" applyProtection="1">
      <alignment horizontal="center"/>
    </xf>
    <xf numFmtId="164" fontId="78" fillId="9" borderId="1" xfId="0" applyNumberFormat="1" applyFont="1" applyFill="1" applyBorder="1" applyAlignment="1" applyProtection="1">
      <alignment horizontal="center"/>
    </xf>
    <xf numFmtId="164" fontId="73" fillId="9" borderId="1" xfId="0" applyNumberFormat="1" applyFont="1" applyFill="1" applyBorder="1" applyAlignment="1" applyProtection="1">
      <alignment horizontal="center"/>
    </xf>
    <xf numFmtId="164" fontId="68" fillId="9" borderId="1" xfId="0" applyNumberFormat="1" applyFont="1" applyFill="1" applyBorder="1" applyAlignment="1" applyProtection="1">
      <alignment horizontal="center"/>
    </xf>
    <xf numFmtId="178" fontId="68" fillId="9" borderId="1" xfId="0" applyNumberFormat="1" applyFont="1" applyFill="1" applyBorder="1" applyAlignment="1" applyProtection="1">
      <alignment horizontal="center"/>
    </xf>
    <xf numFmtId="167" fontId="34" fillId="9" borderId="1" xfId="0" applyNumberFormat="1" applyFont="1" applyFill="1" applyBorder="1" applyAlignment="1" applyProtection="1"/>
    <xf numFmtId="0" fontId="6" fillId="9" borderId="21" xfId="0" applyFont="1" applyFill="1" applyBorder="1" applyAlignment="1" applyProtection="1">
      <alignment horizontal="center"/>
    </xf>
    <xf numFmtId="182" fontId="96" fillId="9" borderId="21" xfId="0" applyNumberFormat="1" applyFont="1" applyFill="1" applyBorder="1" applyAlignment="1" applyProtection="1">
      <alignment horizontal="center"/>
    </xf>
    <xf numFmtId="182" fontId="97" fillId="9" borderId="21" xfId="0" applyNumberFormat="1" applyFont="1" applyFill="1" applyBorder="1" applyAlignment="1" applyProtection="1">
      <alignment horizontal="center"/>
    </xf>
    <xf numFmtId="182" fontId="7" fillId="9" borderId="21" xfId="0" applyNumberFormat="1" applyFont="1" applyFill="1" applyBorder="1" applyAlignment="1" applyProtection="1">
      <alignment horizontal="center"/>
    </xf>
    <xf numFmtId="9" fontId="6" fillId="9" borderId="21" xfId="0" applyNumberFormat="1" applyFont="1" applyFill="1" applyBorder="1" applyAlignment="1" applyProtection="1">
      <alignment horizontal="center"/>
    </xf>
    <xf numFmtId="182" fontId="41" fillId="9" borderId="21" xfId="0" applyNumberFormat="1" applyFont="1" applyFill="1" applyBorder="1" applyAlignment="1" applyProtection="1">
      <alignment horizontal="center"/>
    </xf>
    <xf numFmtId="170" fontId="6" fillId="9" borderId="21" xfId="0" applyNumberFormat="1" applyFont="1" applyFill="1" applyBorder="1" applyAlignment="1" applyProtection="1">
      <alignment horizontal="center"/>
    </xf>
    <xf numFmtId="2" fontId="96" fillId="9" borderId="21" xfId="0" applyNumberFormat="1" applyFont="1" applyFill="1" applyBorder="1" applyAlignment="1" applyProtection="1">
      <alignment horizontal="center"/>
    </xf>
    <xf numFmtId="181" fontId="96" fillId="9" borderId="21" xfId="0" applyNumberFormat="1" applyFont="1" applyFill="1" applyBorder="1" applyAlignment="1" applyProtection="1">
      <alignment horizontal="center"/>
    </xf>
    <xf numFmtId="10" fontId="96" fillId="9" borderId="21" xfId="0" applyNumberFormat="1" applyFont="1" applyFill="1" applyBorder="1" applyAlignment="1" applyProtection="1">
      <alignment horizontal="center"/>
    </xf>
    <xf numFmtId="183" fontId="6" fillId="9" borderId="21" xfId="0" applyNumberFormat="1" applyFont="1" applyFill="1" applyBorder="1" applyAlignment="1" applyProtection="1">
      <alignment horizontal="center"/>
    </xf>
    <xf numFmtId="9" fontId="96" fillId="9" borderId="21" xfId="2" applyFont="1" applyFill="1" applyBorder="1" applyAlignment="1" applyProtection="1">
      <alignment horizontal="center"/>
    </xf>
    <xf numFmtId="182" fontId="6" fillId="9" borderId="31" xfId="0" applyNumberFormat="1" applyFont="1" applyFill="1" applyBorder="1" applyAlignment="1" applyProtection="1">
      <alignment horizontal="center"/>
    </xf>
    <xf numFmtId="2" fontId="6" fillId="9" borderId="21" xfId="0" applyNumberFormat="1" applyFont="1" applyFill="1" applyBorder="1" applyAlignment="1" applyProtection="1">
      <alignment horizontal="center"/>
    </xf>
    <xf numFmtId="2" fontId="6" fillId="9" borderId="31" xfId="0" applyNumberFormat="1" applyFont="1" applyFill="1" applyBorder="1" applyAlignment="1" applyProtection="1">
      <alignment horizontal="center"/>
    </xf>
    <xf numFmtId="173" fontId="6" fillId="7" borderId="21" xfId="0" applyNumberFormat="1" applyFont="1" applyFill="1" applyBorder="1" applyAlignment="1" applyProtection="1">
      <alignment horizontal="center"/>
    </xf>
    <xf numFmtId="0" fontId="17" fillId="11" borderId="0" xfId="0" applyNumberFormat="1" applyFont="1" applyFill="1" applyBorder="1" applyAlignment="1" applyProtection="1">
      <alignment horizontal="center"/>
    </xf>
    <xf numFmtId="0" fontId="11" fillId="11" borderId="0" xfId="0" applyFont="1" applyFill="1" applyBorder="1" applyAlignment="1" applyProtection="1">
      <alignment horizontal="left"/>
    </xf>
    <xf numFmtId="174" fontId="11" fillId="11" borderId="0" xfId="0" applyNumberFormat="1" applyFont="1" applyFill="1" applyBorder="1" applyAlignment="1" applyProtection="1">
      <alignment horizontal="center"/>
    </xf>
    <xf numFmtId="169" fontId="11" fillId="11" borderId="0" xfId="3" applyNumberFormat="1" applyFont="1" applyFill="1" applyBorder="1" applyAlignment="1" applyProtection="1">
      <alignment horizontal="center"/>
    </xf>
    <xf numFmtId="170" fontId="11" fillId="11" borderId="0" xfId="3" applyNumberFormat="1" applyFont="1" applyFill="1" applyBorder="1" applyAlignment="1" applyProtection="1"/>
    <xf numFmtId="170" fontId="11" fillId="11" borderId="0" xfId="3" applyNumberFormat="1" applyFont="1" applyFill="1" applyBorder="1" applyProtection="1"/>
    <xf numFmtId="170" fontId="6" fillId="11" borderId="0" xfId="3" applyNumberFormat="1" applyFont="1" applyFill="1" applyBorder="1" applyAlignment="1" applyProtection="1">
      <alignment horizontal="left"/>
    </xf>
    <xf numFmtId="2" fontId="11" fillId="11" borderId="0" xfId="0" applyNumberFormat="1" applyFont="1" applyFill="1" applyBorder="1" applyAlignment="1" applyProtection="1">
      <alignment horizontal="center"/>
    </xf>
    <xf numFmtId="175" fontId="12" fillId="11" borderId="0" xfId="0" applyNumberFormat="1" applyFont="1" applyFill="1" applyBorder="1" applyAlignment="1" applyProtection="1">
      <alignment horizontal="left"/>
    </xf>
    <xf numFmtId="0" fontId="11" fillId="11" borderId="5" xfId="0" applyFont="1" applyFill="1" applyBorder="1" applyProtection="1"/>
    <xf numFmtId="0" fontId="11" fillId="11" borderId="39" xfId="0" applyFont="1" applyFill="1" applyBorder="1" applyProtection="1"/>
    <xf numFmtId="0" fontId="11" fillId="11" borderId="5" xfId="0" applyFont="1" applyFill="1" applyBorder="1" applyAlignment="1" applyProtection="1"/>
    <xf numFmtId="0" fontId="11" fillId="11" borderId="6" xfId="0" applyFont="1" applyFill="1" applyBorder="1" applyProtection="1"/>
    <xf numFmtId="0" fontId="12" fillId="11" borderId="110" xfId="0" applyFont="1" applyFill="1" applyBorder="1" applyProtection="1"/>
    <xf numFmtId="0" fontId="12" fillId="11" borderId="101" xfId="0" applyFont="1" applyFill="1" applyBorder="1" applyProtection="1"/>
    <xf numFmtId="0" fontId="12" fillId="11" borderId="101" xfId="0" applyFont="1" applyFill="1" applyBorder="1" applyAlignment="1" applyProtection="1">
      <alignment horizontal="left"/>
    </xf>
    <xf numFmtId="0" fontId="12" fillId="11" borderId="101" xfId="0" applyFont="1" applyFill="1" applyBorder="1" applyAlignment="1" applyProtection="1">
      <alignment horizontal="center"/>
    </xf>
    <xf numFmtId="174" fontId="12" fillId="11" borderId="101" xfId="0" applyNumberFormat="1" applyFont="1" applyFill="1" applyBorder="1" applyAlignment="1" applyProtection="1">
      <alignment horizontal="center"/>
    </xf>
    <xf numFmtId="0" fontId="12" fillId="11" borderId="101" xfId="0" applyNumberFormat="1" applyFont="1" applyFill="1" applyBorder="1" applyAlignment="1" applyProtection="1">
      <alignment horizontal="center"/>
    </xf>
    <xf numFmtId="169" fontId="12" fillId="11" borderId="101" xfId="3" applyNumberFormat="1" applyFont="1" applyFill="1" applyBorder="1" applyAlignment="1" applyProtection="1">
      <alignment horizontal="center"/>
    </xf>
    <xf numFmtId="169" fontId="12" fillId="11" borderId="101" xfId="0" applyNumberFormat="1" applyFont="1" applyFill="1" applyBorder="1" applyAlignment="1" applyProtection="1">
      <alignment horizontal="center"/>
    </xf>
    <xf numFmtId="170" fontId="12" fillId="11" borderId="101" xfId="3" applyNumberFormat="1" applyFont="1" applyFill="1" applyBorder="1" applyAlignment="1" applyProtection="1"/>
    <xf numFmtId="170" fontId="12" fillId="11" borderId="101" xfId="3" applyNumberFormat="1" applyFont="1" applyFill="1" applyBorder="1" applyProtection="1"/>
    <xf numFmtId="170" fontId="6" fillId="11" borderId="101" xfId="3" applyNumberFormat="1" applyFont="1" applyFill="1" applyBorder="1" applyAlignment="1" applyProtection="1">
      <alignment horizontal="left"/>
    </xf>
    <xf numFmtId="2" fontId="12" fillId="11" borderId="101" xfId="0" applyNumberFormat="1" applyFont="1" applyFill="1" applyBorder="1" applyAlignment="1" applyProtection="1">
      <alignment horizontal="center"/>
    </xf>
    <xf numFmtId="0" fontId="12" fillId="11" borderId="111" xfId="0" applyFont="1" applyFill="1" applyBorder="1" applyProtection="1"/>
  </cellXfs>
  <cellStyles count="4">
    <cellStyle name="Hyperlink" xfId="1" builtinId="8"/>
    <cellStyle name="Procent" xfId="2" builtinId="5"/>
    <cellStyle name="Standaard" xfId="0" builtinId="0"/>
    <cellStyle name="Valuta" xfId="3" builtinId="4"/>
  </cellStyles>
  <dxfs count="0"/>
  <tableStyles count="0" defaultTableStyle="TableStyleMedium9" defaultPivotStyle="PivotStyleLight16"/>
  <colors>
    <mruColors>
      <color rgb="FF0066CC"/>
      <color rgb="FFA40000"/>
      <color rgb="FFFFFFCC"/>
      <color rgb="FFFFFF99"/>
      <color rgb="FF993300"/>
      <color rgb="FF006EC0"/>
      <color rgb="FFFFFF00"/>
      <color rgb="FFC0C0C0"/>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Liquide Middelen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2480452.5249999999</c:v>
              </c:pt>
              <c:pt idx="2">
                <c:v>3694342.9400000018</c:v>
              </c:pt>
              <c:pt idx="3">
                <c:v>4888836.4400000023</c:v>
              </c:pt>
            </c:numLit>
          </c:val>
          <c:extLst>
            <c:ext xmlns:c16="http://schemas.microsoft.com/office/drawing/2014/chart" uri="{C3380CC4-5D6E-409C-BE32-E72D297353CC}">
              <c16:uniqueId val="{00000000-A019-4AD5-8CAF-5973A857FA04}"/>
            </c:ext>
          </c:extLst>
        </c:ser>
        <c:dLbls>
          <c:showLegendKey val="0"/>
          <c:showVal val="1"/>
          <c:showCatName val="0"/>
          <c:showSerName val="0"/>
          <c:showPercent val="0"/>
          <c:showBubbleSize val="0"/>
        </c:dLbls>
        <c:gapWidth val="150"/>
        <c:axId val="514442200"/>
        <c:axId val="514441024"/>
      </c:barChart>
      <c:catAx>
        <c:axId val="514442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14441024"/>
        <c:crosses val="autoZero"/>
        <c:auto val="1"/>
        <c:lblAlgn val="ctr"/>
        <c:lblOffset val="100"/>
        <c:tickLblSkip val="1"/>
        <c:tickMarkSkip val="1"/>
        <c:noMultiLvlLbl val="0"/>
      </c:catAx>
      <c:valAx>
        <c:axId val="51444102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1444220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Rentabiliteit</a:t>
            </a:r>
          </a:p>
        </c:rich>
      </c:tx>
      <c:layout>
        <c:manualLayout>
          <c:xMode val="edge"/>
          <c:yMode val="edge"/>
          <c:x val="0.3991031440218909"/>
          <c:y val="3.5190615835777136E-2"/>
        </c:manualLayout>
      </c:layout>
      <c:overlay val="0"/>
      <c:spPr>
        <a:noFill/>
        <a:ln w="25400">
          <a:noFill/>
        </a:ln>
      </c:spPr>
    </c:title>
    <c:autoTitleDeleted val="0"/>
    <c:plotArea>
      <c:layout>
        <c:manualLayout>
          <c:layoutTarget val="inner"/>
          <c:xMode val="edge"/>
          <c:yMode val="edge"/>
          <c:x val="0.15919282511210794"/>
          <c:y val="0.19648093841642431"/>
          <c:w val="0.8094170403587444"/>
          <c:h val="0.671554252199422"/>
        </c:manualLayout>
      </c:layout>
      <c:barChart>
        <c:barDir val="col"/>
        <c:grouping val="clustered"/>
        <c:varyColors val="0"/>
        <c:ser>
          <c:idx val="1"/>
          <c:order val="0"/>
          <c:tx>
            <c:strRef>
              <c:f>bal!$D$66</c:f>
              <c:strCache>
                <c:ptCount val="1"/>
                <c:pt idx="0">
                  <c:v>Rentabiliteit</c:v>
                </c:pt>
              </c:strCache>
            </c:strRef>
          </c:tx>
          <c:invertIfNegative val="0"/>
          <c:cat>
            <c:numRef>
              <c:extLst>
                <c:ext xmlns:c15="http://schemas.microsoft.com/office/drawing/2012/chart" uri="{02D57815-91ED-43cb-92C2-25804820EDAC}">
                  <c15:fullRef>
                    <c15:sqref>bal!$H$8:$M$8</c15:sqref>
                  </c15:fullRef>
                </c:ext>
              </c:extLst>
              <c:f>bal!$I$8:$M$8</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bal!$H$66:$M$66</c15:sqref>
                  </c15:fullRef>
                </c:ext>
              </c:extLst>
              <c:f>bal!$I$66:$M$66</c:f>
              <c:numCache>
                <c:formatCode>0.0%</c:formatCode>
                <c:ptCount val="5"/>
                <c:pt idx="0">
                  <c:v>0.5729698474771131</c:v>
                </c:pt>
                <c:pt idx="1">
                  <c:v>0.54911499149717191</c:v>
                </c:pt>
                <c:pt idx="2">
                  <c:v>0.56056753682964666</c:v>
                </c:pt>
                <c:pt idx="3">
                  <c:v>0.56025843721080693</c:v>
                </c:pt>
                <c:pt idx="4">
                  <c:v>0.56025843721080693</c:v>
                </c:pt>
              </c:numCache>
            </c:numRef>
          </c:val>
          <c:extLst>
            <c:ext xmlns:c16="http://schemas.microsoft.com/office/drawing/2014/chart" uri="{C3380CC4-5D6E-409C-BE32-E72D297353CC}">
              <c16:uniqueId val="{00000000-4838-48E5-96F4-C08BBDC7DBE6}"/>
            </c:ext>
          </c:extLst>
        </c:ser>
        <c:dLbls>
          <c:showLegendKey val="0"/>
          <c:showVal val="0"/>
          <c:showCatName val="0"/>
          <c:showSerName val="0"/>
          <c:showPercent val="0"/>
          <c:showBubbleSize val="0"/>
        </c:dLbls>
        <c:gapWidth val="150"/>
        <c:axId val="362710360"/>
        <c:axId val="362711536"/>
      </c:barChart>
      <c:catAx>
        <c:axId val="36271036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62711536"/>
        <c:crosses val="autoZero"/>
        <c:auto val="1"/>
        <c:lblAlgn val="ctr"/>
        <c:lblOffset val="100"/>
        <c:tickLblSkip val="1"/>
        <c:tickMarkSkip val="1"/>
        <c:noMultiLvlLbl val="0"/>
      </c:catAx>
      <c:valAx>
        <c:axId val="362711536"/>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6271036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Weerstandsvermogen</a:t>
            </a:r>
          </a:p>
        </c:rich>
      </c:tx>
      <c:layout>
        <c:manualLayout>
          <c:xMode val="edge"/>
          <c:yMode val="edge"/>
          <c:x val="0.32142902519350852"/>
          <c:y val="3.5502958579881658E-2"/>
        </c:manualLayout>
      </c:layout>
      <c:overlay val="0"/>
      <c:spPr>
        <a:noFill/>
        <a:ln w="25400">
          <a:noFill/>
        </a:ln>
      </c:spPr>
    </c:title>
    <c:autoTitleDeleted val="0"/>
    <c:plotArea>
      <c:layout>
        <c:manualLayout>
          <c:layoutTarget val="inner"/>
          <c:xMode val="edge"/>
          <c:yMode val="edge"/>
          <c:x val="0.15565983854113655"/>
          <c:y val="0.20229059686775686"/>
          <c:w val="0.81026874026569939"/>
          <c:h val="0.66863905325444806"/>
        </c:manualLayout>
      </c:layout>
      <c:barChart>
        <c:barDir val="col"/>
        <c:grouping val="clustered"/>
        <c:varyColors val="0"/>
        <c:ser>
          <c:idx val="0"/>
          <c:order val="0"/>
          <c:tx>
            <c:strRef>
              <c:f>bal!$D$67</c:f>
              <c:strCache>
                <c:ptCount val="1"/>
                <c:pt idx="0">
                  <c:v>Weerstandsvermogen (EV / totale lasten)</c:v>
                </c:pt>
              </c:strCache>
            </c:strRef>
          </c:tx>
          <c:spPr>
            <a:solidFill>
              <a:srgbClr val="FF99CC"/>
            </a:solidFill>
            <a:ln w="12700">
              <a:solidFill>
                <a:srgbClr val="000000"/>
              </a:solidFill>
              <a:prstDash val="solid"/>
            </a:ln>
          </c:spPr>
          <c:invertIfNegative val="0"/>
          <c:dLbls>
            <c:delete val="1"/>
          </c:dLbls>
          <c:cat>
            <c:numRef>
              <c:f>bal!$I$61:$M$61</c:f>
              <c:numCache>
                <c:formatCode>General</c:formatCode>
                <c:ptCount val="5"/>
                <c:pt idx="0">
                  <c:v>2020</c:v>
                </c:pt>
                <c:pt idx="1">
                  <c:v>2021</c:v>
                </c:pt>
                <c:pt idx="2">
                  <c:v>2022</c:v>
                </c:pt>
                <c:pt idx="3">
                  <c:v>2023</c:v>
                </c:pt>
                <c:pt idx="4">
                  <c:v>2024</c:v>
                </c:pt>
              </c:numCache>
            </c:numRef>
          </c:cat>
          <c:val>
            <c:numRef>
              <c:f>bal!$I$67:$M$67</c:f>
              <c:numCache>
                <c:formatCode>0%</c:formatCode>
                <c:ptCount val="5"/>
                <c:pt idx="0">
                  <c:v>0</c:v>
                </c:pt>
                <c:pt idx="1">
                  <c:v>1.3449923115718923</c:v>
                </c:pt>
                <c:pt idx="2">
                  <c:v>2.5197513656734452</c:v>
                </c:pt>
                <c:pt idx="3">
                  <c:v>3.8003629600217548</c:v>
                </c:pt>
                <c:pt idx="4">
                  <c:v>5.071754599516221</c:v>
                </c:pt>
              </c:numCache>
            </c:numRef>
          </c:val>
          <c:extLst>
            <c:ext xmlns:c16="http://schemas.microsoft.com/office/drawing/2014/chart" uri="{C3380CC4-5D6E-409C-BE32-E72D297353CC}">
              <c16:uniqueId val="{00000000-AE96-4C65-8401-893D76D8E65E}"/>
            </c:ext>
          </c:extLst>
        </c:ser>
        <c:dLbls>
          <c:showLegendKey val="0"/>
          <c:showVal val="1"/>
          <c:showCatName val="0"/>
          <c:showSerName val="0"/>
          <c:showPercent val="0"/>
          <c:showBubbleSize val="0"/>
        </c:dLbls>
        <c:gapWidth val="150"/>
        <c:axId val="362704872"/>
        <c:axId val="362705264"/>
      </c:barChart>
      <c:catAx>
        <c:axId val="3627048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62705264"/>
        <c:crosses val="autoZero"/>
        <c:auto val="1"/>
        <c:lblAlgn val="ctr"/>
        <c:lblOffset val="100"/>
        <c:tickLblSkip val="1"/>
        <c:tickMarkSkip val="1"/>
        <c:noMultiLvlLbl val="0"/>
      </c:catAx>
      <c:valAx>
        <c:axId val="362705264"/>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627048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Rijksbijdragen OCW</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5559923.8624999998</c:v>
              </c:pt>
              <c:pt idx="1">
                <c:v>5584447.4375000009</c:v>
              </c:pt>
              <c:pt idx="2">
                <c:v>5584138.3000000017</c:v>
              </c:pt>
              <c:pt idx="3">
                <c:v>5584138.3000000017</c:v>
              </c:pt>
            </c:numLit>
          </c:val>
          <c:extLst>
            <c:ext xmlns:c16="http://schemas.microsoft.com/office/drawing/2014/chart" uri="{C3380CC4-5D6E-409C-BE32-E72D297353CC}">
              <c16:uniqueId val="{00000000-4FC8-4F2A-8EC9-178BD9FD969B}"/>
            </c:ext>
          </c:extLst>
        </c:ser>
        <c:dLbls>
          <c:showLegendKey val="0"/>
          <c:showVal val="1"/>
          <c:showCatName val="0"/>
          <c:showSerName val="0"/>
          <c:showPercent val="0"/>
          <c:showBubbleSize val="0"/>
        </c:dLbls>
        <c:gapWidth val="150"/>
        <c:axId val="362708008"/>
        <c:axId val="330272088"/>
      </c:barChart>
      <c:catAx>
        <c:axId val="362708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0272088"/>
        <c:crosses val="autoZero"/>
        <c:auto val="1"/>
        <c:lblAlgn val="ctr"/>
        <c:lblOffset val="100"/>
        <c:tickLblSkip val="1"/>
        <c:tickMarkSkip val="1"/>
        <c:noMultiLvlLbl val="0"/>
      </c:catAx>
      <c:valAx>
        <c:axId val="33027208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6270800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Personele 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Ref>
              <c:f>{}</c:f>
            </c:numRef>
          </c:val>
          <c:extLst>
            <c:ext xmlns:c16="http://schemas.microsoft.com/office/drawing/2014/chart" uri="{C3380CC4-5D6E-409C-BE32-E72D297353CC}">
              <c16:uniqueId val="{00000000-B77E-42DD-9262-377E1E859A08}"/>
            </c:ext>
          </c:extLst>
        </c:ser>
        <c:dLbls>
          <c:showLegendKey val="0"/>
          <c:showVal val="1"/>
          <c:showCatName val="0"/>
          <c:showSerName val="0"/>
          <c:showPercent val="0"/>
          <c:showBubbleSize val="0"/>
        </c:dLbls>
        <c:gapWidth val="150"/>
        <c:axId val="330271304"/>
        <c:axId val="330274048"/>
      </c:barChart>
      <c:catAx>
        <c:axId val="330271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0274048"/>
        <c:crosses val="autoZero"/>
        <c:auto val="1"/>
        <c:lblAlgn val="ctr"/>
        <c:lblOffset val="100"/>
        <c:tickLblSkip val="1"/>
        <c:tickMarkSkip val="1"/>
        <c:noMultiLvlLbl val="0"/>
      </c:catAx>
      <c:valAx>
        <c:axId val="33027404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027130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Afschrijvingen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extLst>
            <c:ext xmlns:c16="http://schemas.microsoft.com/office/drawing/2014/chart" uri="{C3380CC4-5D6E-409C-BE32-E72D297353CC}">
              <c16:uniqueId val="{00000000-8373-4BCF-B00A-559786180DFF}"/>
            </c:ext>
          </c:extLst>
        </c:ser>
        <c:dLbls>
          <c:showLegendKey val="0"/>
          <c:showVal val="1"/>
          <c:showCatName val="0"/>
          <c:showSerName val="0"/>
          <c:showPercent val="0"/>
          <c:showBubbleSize val="0"/>
        </c:dLbls>
        <c:gapWidth val="150"/>
        <c:axId val="330274440"/>
        <c:axId val="330274832"/>
      </c:barChart>
      <c:catAx>
        <c:axId val="330274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0274832"/>
        <c:crosses val="autoZero"/>
        <c:auto val="1"/>
        <c:lblAlgn val="ctr"/>
        <c:lblOffset val="100"/>
        <c:tickLblSkip val="1"/>
        <c:tickMarkSkip val="1"/>
        <c:noMultiLvlLbl val="0"/>
      </c:catAx>
      <c:valAx>
        <c:axId val="33027483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027444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Huisvestingslasten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extLst>
            <c:ext xmlns:c16="http://schemas.microsoft.com/office/drawing/2014/chart" uri="{C3380CC4-5D6E-409C-BE32-E72D297353CC}">
              <c16:uniqueId val="{00000000-1FB1-4681-83F4-28F0EE9AEF3B}"/>
            </c:ext>
          </c:extLst>
        </c:ser>
        <c:dLbls>
          <c:showLegendKey val="0"/>
          <c:showVal val="1"/>
          <c:showCatName val="0"/>
          <c:showSerName val="0"/>
          <c:showPercent val="0"/>
          <c:showBubbleSize val="0"/>
        </c:dLbls>
        <c:gapWidth val="150"/>
        <c:axId val="330273656"/>
        <c:axId val="566375288"/>
      </c:barChart>
      <c:catAx>
        <c:axId val="33027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66375288"/>
        <c:crosses val="autoZero"/>
        <c:auto val="1"/>
        <c:lblAlgn val="ctr"/>
        <c:lblOffset val="100"/>
        <c:tickLblSkip val="1"/>
        <c:tickMarkSkip val="1"/>
        <c:noMultiLvlLbl val="0"/>
      </c:catAx>
      <c:valAx>
        <c:axId val="566375288"/>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027365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instellingslasten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extLst>
            <c:ext xmlns:c16="http://schemas.microsoft.com/office/drawing/2014/chart" uri="{C3380CC4-5D6E-409C-BE32-E72D297353CC}">
              <c16:uniqueId val="{00000000-1534-47B9-A77D-9B57EE55CF5A}"/>
            </c:ext>
          </c:extLst>
        </c:ser>
        <c:dLbls>
          <c:showLegendKey val="0"/>
          <c:showVal val="1"/>
          <c:showCatName val="0"/>
          <c:showSerName val="0"/>
          <c:showPercent val="0"/>
          <c:showBubbleSize val="0"/>
        </c:dLbls>
        <c:gapWidth val="150"/>
        <c:axId val="566376072"/>
        <c:axId val="566369800"/>
      </c:barChart>
      <c:catAx>
        <c:axId val="566376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66369800"/>
        <c:crosses val="autoZero"/>
        <c:auto val="1"/>
        <c:lblAlgn val="ctr"/>
        <c:lblOffset val="100"/>
        <c:tickLblSkip val="1"/>
        <c:tickMarkSkip val="1"/>
        <c:noMultiLvlLbl val="0"/>
      </c:catAx>
      <c:valAx>
        <c:axId val="5663698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6637607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Onderwijsleermiddelen</a:t>
            </a:r>
          </a:p>
        </c:rich>
      </c:tx>
      <c:overlay val="0"/>
      <c:spPr>
        <a:noFill/>
        <a:ln w="25400">
          <a:noFill/>
        </a:ln>
      </c:spPr>
    </c:title>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extLst>
            <c:ext xmlns:c16="http://schemas.microsoft.com/office/drawing/2014/chart" uri="{C3380CC4-5D6E-409C-BE32-E72D297353CC}">
              <c16:uniqueId val="{00000000-44C5-4F8A-9504-782E6221AA5C}"/>
            </c:ext>
          </c:extLst>
        </c:ser>
        <c:dLbls>
          <c:showLegendKey val="0"/>
          <c:showVal val="1"/>
          <c:showCatName val="0"/>
          <c:showSerName val="0"/>
          <c:showPercent val="0"/>
          <c:showBubbleSize val="0"/>
        </c:dLbls>
        <c:gapWidth val="150"/>
        <c:axId val="566367840"/>
        <c:axId val="566368624"/>
      </c:barChart>
      <c:catAx>
        <c:axId val="566367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66368624"/>
        <c:crosses val="autoZero"/>
        <c:auto val="1"/>
        <c:lblAlgn val="ctr"/>
        <c:lblOffset val="100"/>
        <c:tickLblSkip val="1"/>
        <c:tickMarkSkip val="1"/>
        <c:noMultiLvlLbl val="0"/>
      </c:catAx>
      <c:valAx>
        <c:axId val="56636862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6636784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Resultaat </a:t>
            </a:r>
          </a:p>
        </c:rich>
      </c:tx>
      <c:layout>
        <c:manualLayout>
          <c:xMode val="edge"/>
          <c:yMode val="edge"/>
          <c:x val="0.42187542733629052"/>
          <c:y val="3.5502958579881658E-2"/>
        </c:manualLayout>
      </c:layout>
      <c:overlay val="0"/>
      <c:spPr>
        <a:noFill/>
        <a:ln w="25400">
          <a:noFill/>
        </a:ln>
      </c:spPr>
    </c:title>
    <c:autoTitleDeleted val="0"/>
    <c:plotArea>
      <c:layout>
        <c:manualLayout>
          <c:layoutTarget val="inner"/>
          <c:xMode val="edge"/>
          <c:yMode val="edge"/>
          <c:x val="0.19642878551895743"/>
          <c:y val="0.19822485207100593"/>
          <c:w val="0.77232227033590084"/>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extLst>
                <c:ext xmlns:c15="http://schemas.microsoft.com/office/drawing/2012/chart" uri="{02D57815-91ED-43cb-92C2-25804820EDAC}">
                  <c15:fullRef>
                    <c15:sqref>ken!$G$7:$L$7</c15:sqref>
                  </c15:fullRef>
                </c:ext>
              </c:extLst>
              <c:f>ken!$H$7:$L$7</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begr!$G$50:$L$50</c15:sqref>
                  </c15:fullRef>
                </c:ext>
              </c:extLst>
              <c:f>begr!$H$50:$L$50</c:f>
              <c:numCache>
                <c:formatCode>_-"€"\ * #,##0_-;_-"€"\ * #,##0\-;_-"€"\ * "-"_-;_-@_-</c:formatCode>
                <c:ptCount val="5"/>
                <c:pt idx="0">
                  <c:v>11501469.735809159</c:v>
                </c:pt>
                <c:pt idx="1">
                  <c:v>10785065.928299397</c:v>
                </c:pt>
                <c:pt idx="2">
                  <c:v>11274802.531947529</c:v>
                </c:pt>
                <c:pt idx="3">
                  <c:v>11268585.551947528</c:v>
                </c:pt>
                <c:pt idx="4">
                  <c:v>11265954.131947529</c:v>
                </c:pt>
              </c:numCache>
            </c:numRef>
          </c:val>
          <c:extLst>
            <c:ext xmlns:c16="http://schemas.microsoft.com/office/drawing/2014/chart" uri="{C3380CC4-5D6E-409C-BE32-E72D297353CC}">
              <c16:uniqueId val="{00000000-F16C-453A-A65F-27C7C98FD507}"/>
            </c:ext>
          </c:extLst>
        </c:ser>
        <c:dLbls>
          <c:showLegendKey val="0"/>
          <c:showVal val="1"/>
          <c:showCatName val="0"/>
          <c:showSerName val="0"/>
          <c:showPercent val="0"/>
          <c:showBubbleSize val="0"/>
        </c:dLbls>
        <c:gapWidth val="150"/>
        <c:axId val="405785000"/>
        <c:axId val="405785392"/>
      </c:barChart>
      <c:catAx>
        <c:axId val="40578500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405785392"/>
        <c:crosses val="autoZero"/>
        <c:auto val="1"/>
        <c:lblAlgn val="ctr"/>
        <c:lblOffset val="100"/>
        <c:tickLblSkip val="1"/>
        <c:tickMarkSkip val="1"/>
        <c:noMultiLvlLbl val="0"/>
      </c:catAx>
      <c:valAx>
        <c:axId val="405785392"/>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40578500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Leerlingenverloop 1 okt.</a:t>
            </a:r>
          </a:p>
        </c:rich>
      </c:tx>
      <c:layout>
        <c:manualLayout>
          <c:xMode val="edge"/>
          <c:yMode val="edge"/>
          <c:x val="0.34821456141511731"/>
          <c:y val="3.5294117647058851E-2"/>
        </c:manualLayout>
      </c:layout>
      <c:overlay val="0"/>
      <c:spPr>
        <a:noFill/>
        <a:ln w="25400">
          <a:noFill/>
        </a:ln>
      </c:spPr>
    </c:title>
    <c:autoTitleDeleted val="0"/>
    <c:plotArea>
      <c:layout>
        <c:manualLayout>
          <c:layoutTarget val="inner"/>
          <c:xMode val="edge"/>
          <c:yMode val="edge"/>
          <c:x val="7.75122962570855E-2"/>
          <c:y val="0.19705913231434305"/>
          <c:w val="0.87723309896534396"/>
          <c:h val="0.58823613889610338"/>
        </c:manualLayout>
      </c:layout>
      <c:barChart>
        <c:barDir val="col"/>
        <c:grouping val="clustered"/>
        <c:varyColors val="0"/>
        <c:ser>
          <c:idx val="2"/>
          <c:order val="1"/>
          <c:tx>
            <c:v>PRO</c:v>
          </c:tx>
          <c:spPr>
            <a:solidFill>
              <a:srgbClr val="FFFFCC"/>
            </a:solidFill>
            <a:ln w="12700">
              <a:solidFill>
                <a:srgbClr val="000000"/>
              </a:solidFill>
              <a:prstDash val="solid"/>
            </a:ln>
          </c:spPr>
          <c:invertIfNegative val="0"/>
          <c:dLbls>
            <c:delete val="1"/>
          </c:dLbls>
          <c:cat>
            <c:numRef>
              <c:extLst>
                <c:ext xmlns:c15="http://schemas.microsoft.com/office/drawing/2012/chart" uri="{02D57815-91ED-43cb-92C2-25804820EDAC}">
                  <c15:fullRef>
                    <c15:sqref>'geg ll'!$G$15:$M$15</c15:sqref>
                  </c15:fullRef>
                </c:ext>
              </c:extLst>
              <c:f>'geg ll'!$H$15:$M$15</c:f>
              <c:numCache>
                <c:formatCode>0</c:formatCode>
                <c:ptCount val="4"/>
                <c:pt idx="0">
                  <c:v>2021</c:v>
                </c:pt>
                <c:pt idx="1">
                  <c:v>2022</c:v>
                </c:pt>
                <c:pt idx="2">
                  <c:v>2023</c:v>
                </c:pt>
                <c:pt idx="3">
                  <c:v>2024</c:v>
                </c:pt>
              </c:numCache>
            </c:numRef>
          </c:cat>
          <c:val>
            <c:numRef>
              <c:extLst>
                <c:ext xmlns:c15="http://schemas.microsoft.com/office/drawing/2012/chart" uri="{02D57815-91ED-43cb-92C2-25804820EDAC}">
                  <c15:fullRef>
                    <c15:sqref>'geg ll'!$H$22:$M$22</c15:sqref>
                  </c15:fullRef>
                </c:ext>
              </c:extLst>
              <c:f>'geg ll'!$I$22:$M$22</c:f>
              <c:numCache>
                <c:formatCode>#,##0.0</c:formatCode>
                <c:ptCount val="4"/>
                <c:pt idx="0">
                  <c:v>456</c:v>
                </c:pt>
                <c:pt idx="1">
                  <c:v>456</c:v>
                </c:pt>
                <c:pt idx="2">
                  <c:v>456</c:v>
                </c:pt>
                <c:pt idx="3">
                  <c:v>456</c:v>
                </c:pt>
              </c:numCache>
            </c:numRef>
          </c:val>
          <c:extLst>
            <c:ext xmlns:c16="http://schemas.microsoft.com/office/drawing/2014/chart" uri="{C3380CC4-5D6E-409C-BE32-E72D297353CC}">
              <c16:uniqueId val="{00000001-8204-4FE4-9ED5-641643426ADF}"/>
            </c:ext>
          </c:extLst>
        </c:ser>
        <c:ser>
          <c:idx val="0"/>
          <c:order val="2"/>
          <c:tx>
            <c:v>VSO</c:v>
          </c:tx>
          <c:invertIfNegative val="0"/>
          <c:dLbls>
            <c:delete val="1"/>
          </c:dLbls>
          <c:cat>
            <c:numRef>
              <c:extLst>
                <c:ext xmlns:c15="http://schemas.microsoft.com/office/drawing/2012/chart" uri="{02D57815-91ED-43cb-92C2-25804820EDAC}">
                  <c15:fullRef>
                    <c15:sqref>'geg ll'!$G$15:$M$15</c15:sqref>
                  </c15:fullRef>
                </c:ext>
              </c:extLst>
              <c:f>'geg ll'!$H$15:$M$15</c:f>
              <c:numCache>
                <c:formatCode>0</c:formatCode>
                <c:ptCount val="4"/>
                <c:pt idx="0">
                  <c:v>2021</c:v>
                </c:pt>
                <c:pt idx="1">
                  <c:v>2022</c:v>
                </c:pt>
                <c:pt idx="2">
                  <c:v>2023</c:v>
                </c:pt>
                <c:pt idx="3">
                  <c:v>2024</c:v>
                </c:pt>
              </c:numCache>
            </c:numRef>
          </c:cat>
          <c:val>
            <c:numRef>
              <c:extLst>
                <c:ext xmlns:c15="http://schemas.microsoft.com/office/drawing/2012/chart" uri="{02D57815-91ED-43cb-92C2-25804820EDAC}">
                  <c15:fullRef>
                    <c15:sqref>'geg ll'!$H$69:$M$69</c15:sqref>
                  </c15:fullRef>
                </c:ext>
              </c:extLst>
              <c:f>'geg ll'!$I$69:$M$69</c:f>
              <c:numCache>
                <c:formatCode>General</c:formatCode>
                <c:ptCount val="4"/>
                <c:pt idx="0">
                  <c:v>495</c:v>
                </c:pt>
                <c:pt idx="1">
                  <c:v>495</c:v>
                </c:pt>
                <c:pt idx="2">
                  <c:v>495</c:v>
                </c:pt>
                <c:pt idx="3">
                  <c:v>495</c:v>
                </c:pt>
              </c:numCache>
            </c:numRef>
          </c:val>
          <c:extLst>
            <c:ext xmlns:c16="http://schemas.microsoft.com/office/drawing/2014/chart" uri="{C3380CC4-5D6E-409C-BE32-E72D297353CC}">
              <c16:uniqueId val="{00000002-8204-4FE4-9ED5-641643426ADF}"/>
            </c:ext>
          </c:extLst>
        </c:ser>
        <c:dLbls>
          <c:showLegendKey val="0"/>
          <c:showVal val="1"/>
          <c:showCatName val="0"/>
          <c:showSerName val="0"/>
          <c:showPercent val="0"/>
          <c:showBubbleSize val="0"/>
        </c:dLbls>
        <c:gapWidth val="150"/>
        <c:axId val="405783040"/>
        <c:axId val="465790000"/>
        <c:extLst>
          <c:ext xmlns:c15="http://schemas.microsoft.com/office/drawing/2012/chart" uri="{02D57815-91ED-43cb-92C2-25804820EDAC}">
            <c15:filteredBarSeries>
              <c15:ser>
                <c:idx val="1"/>
                <c:order val="0"/>
                <c:tx>
                  <c:v>LWOO</c:v>
                </c:tx>
                <c:spPr>
                  <a:solidFill>
                    <a:srgbClr val="993366"/>
                  </a:solidFill>
                  <a:ln w="12700">
                    <a:solidFill>
                      <a:srgbClr val="000000"/>
                    </a:solidFill>
                    <a:prstDash val="solid"/>
                  </a:ln>
                </c:spPr>
                <c:invertIfNegative val="0"/>
                <c:dLbls>
                  <c:delete val="1"/>
                </c:dLbls>
                <c:cat>
                  <c:numRef>
                    <c:extLst>
                      <c:ext uri="{02D57815-91ED-43cb-92C2-25804820EDAC}">
                        <c15:fullRef>
                          <c15:sqref>'geg ll'!$G$15:$M$15</c15:sqref>
                        </c15:fullRef>
                        <c15:formulaRef>
                          <c15:sqref>'geg ll'!$H$15:$M$15</c15:sqref>
                        </c15:formulaRef>
                      </c:ext>
                    </c:extLst>
                    <c:numCache>
                      <c:formatCode>0</c:formatCode>
                      <c:ptCount val="4"/>
                      <c:pt idx="0">
                        <c:v>2021</c:v>
                      </c:pt>
                      <c:pt idx="1">
                        <c:v>2022</c:v>
                      </c:pt>
                      <c:pt idx="2">
                        <c:v>2023</c:v>
                      </c:pt>
                      <c:pt idx="3">
                        <c:v>2024</c:v>
                      </c:pt>
                    </c:numCache>
                  </c:numRef>
                </c:cat>
                <c:val>
                  <c:numRef>
                    <c:extLst>
                      <c:ext uri="{02D57815-91ED-43cb-92C2-25804820EDAC}">
                        <c15:fullRef>
                          <c15:sqref>'geg ll'!$H$21:$M$21</c15:sqref>
                        </c15:fullRef>
                        <c15:formulaRef>
                          <c15:sqref>'geg ll'!$I$21:$M$21</c15:sqref>
                        </c15:formulaRef>
                      </c:ext>
                    </c:extLst>
                    <c:numCache>
                      <c:formatCode>#,##0.0</c:formatCode>
                      <c:ptCount val="4"/>
                      <c:pt idx="0">
                        <c:v>0</c:v>
                      </c:pt>
                      <c:pt idx="1">
                        <c:v>0</c:v>
                      </c:pt>
                      <c:pt idx="2">
                        <c:v>0</c:v>
                      </c:pt>
                      <c:pt idx="3">
                        <c:v>0</c:v>
                      </c:pt>
                    </c:numCache>
                  </c:numRef>
                </c:val>
                <c:extLst>
                  <c:ext xmlns:c16="http://schemas.microsoft.com/office/drawing/2014/chart" uri="{C3380CC4-5D6E-409C-BE32-E72D297353CC}">
                    <c16:uniqueId val="{00000000-8204-4FE4-9ED5-641643426ADF}"/>
                  </c:ext>
                </c:extLst>
              </c15:ser>
            </c15:filteredBarSeries>
          </c:ext>
        </c:extLst>
      </c:barChart>
      <c:catAx>
        <c:axId val="40578304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465790000"/>
        <c:crosses val="autoZero"/>
        <c:auto val="1"/>
        <c:lblAlgn val="ctr"/>
        <c:lblOffset val="100"/>
        <c:noMultiLvlLbl val="0"/>
      </c:catAx>
      <c:valAx>
        <c:axId val="465790000"/>
        <c:scaling>
          <c:orientation val="minMax"/>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40578304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8.5976821443365672E-2"/>
          <c:y val="0.90033741845401982"/>
          <c:w val="0.82306644987413302"/>
          <c:h val="9.966258154598015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Personeel</a:t>
            </a:r>
          </a:p>
        </c:rich>
      </c:tx>
      <c:layout>
        <c:manualLayout>
          <c:xMode val="edge"/>
          <c:yMode val="edge"/>
          <c:x val="0.35346833251839233"/>
          <c:y val="3.5190615835777136E-2"/>
        </c:manualLayout>
      </c:layout>
      <c:overlay val="0"/>
      <c:spPr>
        <a:noFill/>
        <a:ln w="25400">
          <a:noFill/>
        </a:ln>
      </c:spPr>
    </c:title>
    <c:autoTitleDeleted val="0"/>
    <c:plotArea>
      <c:layout>
        <c:manualLayout>
          <c:layoutTarget val="inner"/>
          <c:xMode val="edge"/>
          <c:yMode val="edge"/>
          <c:x val="0.22147699392869538"/>
          <c:y val="0.19648093841642431"/>
          <c:w val="0.74720521184024535"/>
          <c:h val="0.58944281524926656"/>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extLst>
                <c:ext xmlns:c15="http://schemas.microsoft.com/office/drawing/2012/chart" uri="{02D57815-91ED-43cb-92C2-25804820EDAC}">
                  <c15:fullRef>
                    <c15:sqref>tab!$F$4:$K$4</c15:sqref>
                  </c15:fullRef>
                </c:ext>
              </c:extLst>
              <c:f>tab!$G$4:$K$4</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pers!$I$104:$N$104</c15:sqref>
                  </c15:fullRef>
                </c:ext>
              </c:extLst>
              <c:f>pers!$J$104:$N$104</c:f>
              <c:numCache>
                <c:formatCode>_-"€"\ * #,##0_-;_-"€"\ * #,##0\-;_-"€"\ * "-"_-;_-@_-</c:formatCode>
                <c:ptCount val="4"/>
                <c:pt idx="0">
                  <c:v>18654960.760734603</c:v>
                </c:pt>
                <c:pt idx="1">
                  <c:v>19127337.8835494</c:v>
                </c:pt>
                <c:pt idx="2">
                  <c:v>19127337.8835494</c:v>
                </c:pt>
                <c:pt idx="3">
                  <c:v>19127337.8835494</c:v>
                </c:pt>
              </c:numCache>
            </c:numRef>
          </c:val>
          <c:extLst>
            <c:ext xmlns:c16="http://schemas.microsoft.com/office/drawing/2014/chart" uri="{C3380CC4-5D6E-409C-BE32-E72D297353CC}">
              <c16:uniqueId val="{00000000-060A-4448-BD36-0CB651A0D6EA}"/>
            </c:ext>
          </c:extLst>
        </c:ser>
        <c:ser>
          <c:idx val="1"/>
          <c:order val="1"/>
          <c:tx>
            <c:v>lasten</c:v>
          </c:tx>
          <c:spPr>
            <a:solidFill>
              <a:srgbClr val="FFCC99"/>
            </a:solidFill>
            <a:ln w="12700">
              <a:solidFill>
                <a:srgbClr val="000000"/>
              </a:solidFill>
              <a:prstDash val="solid"/>
            </a:ln>
          </c:spPr>
          <c:invertIfNegative val="0"/>
          <c:cat>
            <c:numRef>
              <c:extLst>
                <c:ext xmlns:c15="http://schemas.microsoft.com/office/drawing/2012/chart" uri="{02D57815-91ED-43cb-92C2-25804820EDAC}">
                  <c15:fullRef>
                    <c15:sqref>tab!$F$4:$K$4</c15:sqref>
                  </c15:fullRef>
                </c:ext>
              </c:extLst>
              <c:f>tab!$G$4:$K$4</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pers!$H$175:$M$175</c15:sqref>
                  </c15:fullRef>
                </c:ext>
              </c:extLst>
              <c:f>pers!$I$175:$M$175</c:f>
              <c:numCache>
                <c:formatCode>_-"€"\ * #,##0_-;_-"€"\ * #,##0\-;_-"€"\ * "-"_-;_-@_-</c:formatCode>
                <c:ptCount val="4"/>
                <c:pt idx="0">
                  <c:v>8727520.230833333</c:v>
                </c:pt>
                <c:pt idx="1">
                  <c:v>8708199.9499999993</c:v>
                </c:pt>
                <c:pt idx="2">
                  <c:v>8714416.9299999997</c:v>
                </c:pt>
                <c:pt idx="3">
                  <c:v>8721111.3099999987</c:v>
                </c:pt>
              </c:numCache>
            </c:numRef>
          </c:val>
          <c:extLst>
            <c:ext xmlns:c16="http://schemas.microsoft.com/office/drawing/2014/chart" uri="{C3380CC4-5D6E-409C-BE32-E72D297353CC}">
              <c16:uniqueId val="{00000001-060A-4448-BD36-0CB651A0D6EA}"/>
            </c:ext>
          </c:extLst>
        </c:ser>
        <c:dLbls>
          <c:showLegendKey val="0"/>
          <c:showVal val="0"/>
          <c:showCatName val="0"/>
          <c:showSerName val="0"/>
          <c:showPercent val="0"/>
          <c:showBubbleSize val="0"/>
        </c:dLbls>
        <c:gapWidth val="150"/>
        <c:axId val="514430048"/>
        <c:axId val="514437496"/>
      </c:barChart>
      <c:catAx>
        <c:axId val="514430048"/>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14437496"/>
        <c:crosses val="autoZero"/>
        <c:auto val="1"/>
        <c:lblAlgn val="ctr"/>
        <c:lblOffset val="100"/>
        <c:tickLblSkip val="1"/>
        <c:tickMarkSkip val="1"/>
        <c:noMultiLvlLbl val="0"/>
      </c:catAx>
      <c:valAx>
        <c:axId val="514437496"/>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1443004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8179871520342632"/>
          <c:y val="0.90909090909090906"/>
          <c:w val="0.23768736616702463"/>
          <c:h val="7.0381231671554273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Overige Overheidsbijdragen</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extLst>
            <c:ext xmlns:c16="http://schemas.microsoft.com/office/drawing/2014/chart" uri="{C3380CC4-5D6E-409C-BE32-E72D297353CC}">
              <c16:uniqueId val="{00000000-62C7-45E5-B6E6-1C7BB0B240E3}"/>
            </c:ext>
          </c:extLst>
        </c:ser>
        <c:dLbls>
          <c:showLegendKey val="0"/>
          <c:showVal val="1"/>
          <c:showCatName val="0"/>
          <c:showSerName val="0"/>
          <c:showPercent val="0"/>
          <c:showBubbleSize val="0"/>
        </c:dLbls>
        <c:gapWidth val="150"/>
        <c:axId val="465790392"/>
        <c:axId val="363946736"/>
      </c:barChart>
      <c:catAx>
        <c:axId val="465790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63946736"/>
        <c:crosses val="autoZero"/>
        <c:auto val="1"/>
        <c:lblAlgn val="ctr"/>
        <c:lblOffset val="100"/>
        <c:tickLblSkip val="1"/>
        <c:tickMarkSkip val="1"/>
        <c:noMultiLvlLbl val="0"/>
      </c:catAx>
      <c:valAx>
        <c:axId val="36394673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465790392"/>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Eigen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1240895.0624999991</c:v>
              </c:pt>
              <c:pt idx="1">
                <c:v>2481523.2999999998</c:v>
              </c:pt>
              <c:pt idx="2">
                <c:v>3696912.8000000017</c:v>
              </c:pt>
              <c:pt idx="3">
                <c:v>4891406.3000000026</c:v>
              </c:pt>
            </c:numLit>
          </c:val>
          <c:extLst>
            <c:ext xmlns:c16="http://schemas.microsoft.com/office/drawing/2014/chart" uri="{C3380CC4-5D6E-409C-BE32-E72D297353CC}">
              <c16:uniqueId val="{00000000-1F60-40AA-AE11-DAF47A71E7FF}"/>
            </c:ext>
          </c:extLst>
        </c:ser>
        <c:dLbls>
          <c:showLegendKey val="0"/>
          <c:showVal val="1"/>
          <c:showCatName val="0"/>
          <c:showSerName val="0"/>
          <c:showPercent val="0"/>
          <c:showBubbleSize val="0"/>
        </c:dLbls>
        <c:gapWidth val="150"/>
        <c:axId val="637590576"/>
        <c:axId val="637583912"/>
      </c:barChart>
      <c:catAx>
        <c:axId val="637590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637583912"/>
        <c:crosses val="autoZero"/>
        <c:auto val="1"/>
        <c:lblAlgn val="ctr"/>
        <c:lblOffset val="100"/>
        <c:tickLblSkip val="1"/>
        <c:tickMarkSkip val="1"/>
        <c:noMultiLvlLbl val="0"/>
      </c:catAx>
      <c:valAx>
        <c:axId val="637583912"/>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6375905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per leerling</a:t>
            </a:r>
          </a:p>
        </c:rich>
      </c:tx>
      <c:layout>
        <c:manualLayout>
          <c:xMode val="edge"/>
          <c:yMode val="edge"/>
          <c:x val="0.30133968548049284"/>
          <c:y val="3.5502958579881658E-2"/>
        </c:manualLayout>
      </c:layout>
      <c:overlay val="0"/>
      <c:spPr>
        <a:noFill/>
        <a:ln w="25400">
          <a:noFill/>
        </a:ln>
      </c:spPr>
    </c:title>
    <c:autoTitleDeleted val="0"/>
    <c:plotArea>
      <c:layout>
        <c:manualLayout>
          <c:layoutTarget val="inner"/>
          <c:xMode val="edge"/>
          <c:yMode val="edge"/>
          <c:x val="0.1808037684890404"/>
          <c:y val="0.19822485207100593"/>
          <c:w val="0.78794728736581865"/>
          <c:h val="0.6686390532544480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extLst>
                <c:ext xmlns:c15="http://schemas.microsoft.com/office/drawing/2012/chart" uri="{02D57815-91ED-43cb-92C2-25804820EDAC}">
                  <c15:fullRef>
                    <c15:sqref>begr!$G$8:$L$8</c15:sqref>
                  </c15:fullRef>
                </c:ext>
              </c:extLst>
              <c:f>begr!$H$8:$L$8</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ken!$G$16:$L$16</c15:sqref>
                  </c15:fullRef>
                </c:ext>
              </c:extLst>
              <c:f>ken!$H$16:$L$16</c:f>
              <c:numCache>
                <c:formatCode>_("€"* #,##0_);_("€"* \(#,##0\);_("€"* "-"_);_(@_)</c:formatCode>
                <c:ptCount val="5"/>
                <c:pt idx="0">
                  <c:v>1291.9758846608627</c:v>
                </c:pt>
                <c:pt idx="1">
                  <c:v>1264.1317460985217</c:v>
                </c:pt>
                <c:pt idx="2">
                  <c:v>1294.5351137251419</c:v>
                </c:pt>
                <c:pt idx="3">
                  <c:v>1294.5351137251419</c:v>
                </c:pt>
                <c:pt idx="4">
                  <c:v>1294.5351137251419</c:v>
                </c:pt>
              </c:numCache>
            </c:numRef>
          </c:val>
          <c:extLst>
            <c:ext xmlns:c16="http://schemas.microsoft.com/office/drawing/2014/chart" uri="{C3380CC4-5D6E-409C-BE32-E72D297353CC}">
              <c16:uniqueId val="{00000000-5119-4E0C-A24E-04A9E4FB1E1B}"/>
            </c:ext>
          </c:extLst>
        </c:ser>
        <c:dLbls>
          <c:showLegendKey val="0"/>
          <c:showVal val="1"/>
          <c:showCatName val="0"/>
          <c:showSerName val="0"/>
          <c:showPercent val="0"/>
          <c:showBubbleSize val="0"/>
        </c:dLbls>
        <c:gapWidth val="150"/>
        <c:axId val="637580776"/>
        <c:axId val="637581560"/>
      </c:barChart>
      <c:catAx>
        <c:axId val="63758077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1560"/>
        <c:crosses val="autoZero"/>
        <c:auto val="1"/>
        <c:lblAlgn val="ctr"/>
        <c:lblOffset val="100"/>
        <c:tickLblSkip val="1"/>
        <c:tickMarkSkip val="1"/>
        <c:noMultiLvlLbl val="0"/>
      </c:catAx>
      <c:valAx>
        <c:axId val="637581560"/>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07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lasten per leerling
</a:t>
            </a:r>
          </a:p>
        </c:rich>
      </c:tx>
      <c:layout>
        <c:manualLayout>
          <c:xMode val="edge"/>
          <c:yMode val="edge"/>
          <c:x val="0.29596406218453658"/>
          <c:y val="3.5714285714285712E-2"/>
        </c:manualLayout>
      </c:layout>
      <c:overlay val="0"/>
      <c:spPr>
        <a:noFill/>
        <a:ln w="25400">
          <a:noFill/>
        </a:ln>
      </c:spPr>
    </c:title>
    <c:autoTitleDeleted val="0"/>
    <c:plotArea>
      <c:layout>
        <c:manualLayout>
          <c:layoutTarget val="inner"/>
          <c:xMode val="edge"/>
          <c:yMode val="edge"/>
          <c:x val="0.18161434977578494"/>
          <c:y val="0.2589293239900855"/>
          <c:w val="0.78699551569506765"/>
          <c:h val="0.60714462176985062"/>
        </c:manualLayout>
      </c:layout>
      <c:barChart>
        <c:barDir val="col"/>
        <c:grouping val="clustered"/>
        <c:varyColors val="0"/>
        <c:ser>
          <c:idx val="0"/>
          <c:order val="0"/>
          <c:spPr>
            <a:solidFill>
              <a:srgbClr val="FF0000"/>
            </a:solidFill>
            <a:ln w="12700">
              <a:solidFill>
                <a:srgbClr val="000000"/>
              </a:solidFill>
              <a:prstDash val="solid"/>
            </a:ln>
          </c:spPr>
          <c:invertIfNegative val="0"/>
          <c:dLbls>
            <c:delete val="1"/>
          </c:dLbls>
          <c:cat>
            <c:numRef>
              <c:extLst>
                <c:ext xmlns:c15="http://schemas.microsoft.com/office/drawing/2012/chart" uri="{02D57815-91ED-43cb-92C2-25804820EDAC}">
                  <c15:fullRef>
                    <c15:sqref>ken!$G$7:$L$7</c15:sqref>
                  </c15:fullRef>
                </c:ext>
              </c:extLst>
              <c:f>ken!$H$7:$L$7</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ken!$G$22:$L$22</c15:sqref>
                  </c15:fullRef>
                </c:ext>
              </c:extLst>
              <c:f>ken!$H$22:$L$22</c:f>
              <c:numCache>
                <c:formatCode>_("€"* #,##0_);_("€"* \(#,##0\);_("€"* "-"_);_(@_)</c:formatCode>
                <c:ptCount val="5"/>
                <c:pt idx="0">
                  <c:v>551.71265908261989</c:v>
                </c:pt>
                <c:pt idx="1">
                  <c:v>569.97805308832687</c:v>
                </c:pt>
                <c:pt idx="2">
                  <c:v>568.86075368475247</c:v>
                </c:pt>
                <c:pt idx="3">
                  <c:v>569.26089399497971</c:v>
                </c:pt>
                <c:pt idx="4">
                  <c:v>569.43025873720796</c:v>
                </c:pt>
              </c:numCache>
            </c:numRef>
          </c:val>
          <c:extLst>
            <c:ext xmlns:c16="http://schemas.microsoft.com/office/drawing/2014/chart" uri="{C3380CC4-5D6E-409C-BE32-E72D297353CC}">
              <c16:uniqueId val="{00000000-CE4B-4440-9B0A-24AE0BF68AC6}"/>
            </c:ext>
          </c:extLst>
        </c:ser>
        <c:dLbls>
          <c:showLegendKey val="0"/>
          <c:showVal val="1"/>
          <c:showCatName val="0"/>
          <c:showSerName val="0"/>
          <c:showPercent val="0"/>
          <c:showBubbleSize val="0"/>
        </c:dLbls>
        <c:gapWidth val="150"/>
        <c:axId val="637580384"/>
        <c:axId val="637586264"/>
      </c:barChart>
      <c:catAx>
        <c:axId val="63758038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6264"/>
        <c:crosses val="autoZero"/>
        <c:auto val="1"/>
        <c:lblAlgn val="ctr"/>
        <c:lblOffset val="100"/>
        <c:tickLblSkip val="1"/>
        <c:tickMarkSkip val="1"/>
        <c:noMultiLvlLbl val="0"/>
      </c:catAx>
      <c:valAx>
        <c:axId val="637586264"/>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038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Investeringen </a:t>
            </a:r>
          </a:p>
        </c:rich>
      </c:tx>
      <c:layout>
        <c:manualLayout>
          <c:xMode val="edge"/>
          <c:yMode val="edge"/>
          <c:x val="0.38702539024727473"/>
          <c:y val="3.5608308605341282E-2"/>
        </c:manualLayout>
      </c:layout>
      <c:overlay val="0"/>
      <c:spPr>
        <a:noFill/>
        <a:ln w="25400">
          <a:noFill/>
        </a:ln>
      </c:spPr>
    </c:title>
    <c:autoTitleDeleted val="0"/>
    <c:plotArea>
      <c:layout>
        <c:manualLayout>
          <c:layoutTarget val="inner"/>
          <c:xMode val="edge"/>
          <c:yMode val="edge"/>
          <c:x val="0.10961992628794019"/>
          <c:y val="0.19881334444162863"/>
          <c:w val="0.85906227948100067"/>
          <c:h val="0.66765675372188726"/>
        </c:manualLayout>
      </c:layout>
      <c:barChart>
        <c:barDir val="col"/>
        <c:grouping val="clustered"/>
        <c:varyColors val="0"/>
        <c:ser>
          <c:idx val="0"/>
          <c:order val="0"/>
          <c:spPr>
            <a:solidFill>
              <a:srgbClr val="9999FF"/>
            </a:solidFill>
            <a:ln w="12700">
              <a:solidFill>
                <a:srgbClr val="000000"/>
              </a:solidFill>
              <a:prstDash val="solid"/>
            </a:ln>
          </c:spPr>
          <c:invertIfNegative val="0"/>
          <c:dLbls>
            <c:delete val="1"/>
          </c:dLbls>
          <c:cat>
            <c:numRef>
              <c:f>act!$F$8:$J$8</c:f>
              <c:numCache>
                <c:formatCode>0</c:formatCode>
                <c:ptCount val="5"/>
                <c:pt idx="0">
                  <c:v>2020</c:v>
                </c:pt>
                <c:pt idx="1">
                  <c:v>2021</c:v>
                </c:pt>
                <c:pt idx="2">
                  <c:v>2022</c:v>
                </c:pt>
                <c:pt idx="3">
                  <c:v>2023</c:v>
                </c:pt>
                <c:pt idx="4">
                  <c:v>2024</c:v>
                </c:pt>
              </c:numCache>
            </c:numRef>
          </c:cat>
          <c:val>
            <c:numRef>
              <c:f>act!$F$25:$J$25</c:f>
              <c:numCache>
                <c:formatCode>_-"€"\ * #,##0_-;_-"€"\ * #,##0\-;_-"€"\ * "-"_-;_-@_-</c:formatCode>
                <c:ptCount val="5"/>
                <c:pt idx="0">
                  <c:v>0</c:v>
                </c:pt>
                <c:pt idx="1">
                  <c:v>0</c:v>
                </c:pt>
                <c:pt idx="2">
                  <c:v>55500</c:v>
                </c:pt>
                <c:pt idx="3">
                  <c:v>0</c:v>
                </c:pt>
                <c:pt idx="4">
                  <c:v>0</c:v>
                </c:pt>
              </c:numCache>
            </c:numRef>
          </c:val>
          <c:extLst>
            <c:ext xmlns:c16="http://schemas.microsoft.com/office/drawing/2014/chart" uri="{C3380CC4-5D6E-409C-BE32-E72D297353CC}">
              <c16:uniqueId val="{00000000-4390-47BC-AFA2-C22FD9AD9919}"/>
            </c:ext>
          </c:extLst>
        </c:ser>
        <c:dLbls>
          <c:showLegendKey val="0"/>
          <c:showVal val="1"/>
          <c:showCatName val="0"/>
          <c:showSerName val="0"/>
          <c:showPercent val="0"/>
          <c:showBubbleSize val="0"/>
        </c:dLbls>
        <c:gapWidth val="150"/>
        <c:axId val="637591360"/>
        <c:axId val="637584304"/>
      </c:barChart>
      <c:catAx>
        <c:axId val="637591360"/>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4304"/>
        <c:crosses val="autoZero"/>
        <c:auto val="1"/>
        <c:lblAlgn val="ctr"/>
        <c:lblOffset val="100"/>
        <c:tickLblSkip val="1"/>
        <c:tickMarkSkip val="2"/>
        <c:noMultiLvlLbl val="0"/>
      </c:catAx>
      <c:valAx>
        <c:axId val="637584304"/>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9136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latin typeface="Arial" pitchFamily="34" charset="0"/>
                <a:cs typeface="Arial" pitchFamily="34" charset="0"/>
              </a:defRPr>
            </a:pPr>
            <a:r>
              <a:rPr lang="nl-NL" sz="1100" b="1">
                <a:latin typeface="Arial" pitchFamily="34" charset="0"/>
                <a:cs typeface="Arial" pitchFamily="34" charset="0"/>
              </a:rPr>
              <a:t>Loonkosten jaar (peildatum 1 okt.)</a:t>
            </a:r>
          </a:p>
        </c:rich>
      </c:tx>
      <c:overlay val="0"/>
    </c:title>
    <c:autoTitleDeleted val="0"/>
    <c:plotArea>
      <c:layout>
        <c:manualLayout>
          <c:layoutTarget val="inner"/>
          <c:xMode val="edge"/>
          <c:yMode val="edge"/>
          <c:x val="0.17163150693396972"/>
          <c:y val="0.1327593239553857"/>
          <c:w val="0.74824205054800463"/>
          <c:h val="0.67246772114851239"/>
        </c:manualLayout>
      </c:layout>
      <c:barChart>
        <c:barDir val="col"/>
        <c:grouping val="stacked"/>
        <c:varyColors val="0"/>
        <c:ser>
          <c:idx val="2"/>
          <c:order val="1"/>
          <c:tx>
            <c:strRef>
              <c:f>' sal SWV'!$E$261</c:f>
              <c:strCache>
                <c:ptCount val="1"/>
                <c:pt idx="0">
                  <c:v> bruto maandsalaris </c:v>
                </c:pt>
              </c:strCache>
            </c:strRef>
          </c:tx>
          <c:spPr>
            <a:solidFill>
              <a:schemeClr val="accent2"/>
            </a:solidFill>
          </c:spPr>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SWV'!$E$262:$E$267</c15:sqref>
                  </c15:fullRef>
                </c:ext>
              </c:extLst>
              <c:f>' sal SWV'!$E$263:$E$267</c:f>
              <c:numCache>
                <c:formatCode>_-"€"\ * #,##0_-;_-"€"\ * #,##0\-;_-"€"\ * "-"??_-;_-@_-</c:formatCode>
                <c:ptCount val="5"/>
                <c:pt idx="0">
                  <c:v>52152</c:v>
                </c:pt>
                <c:pt idx="1">
                  <c:v>55728</c:v>
                </c:pt>
                <c:pt idx="2">
                  <c:v>59640</c:v>
                </c:pt>
                <c:pt idx="3">
                  <c:v>63852</c:v>
                </c:pt>
                <c:pt idx="4">
                  <c:v>68388</c:v>
                </c:pt>
              </c:numCache>
            </c:numRef>
          </c:val>
          <c:extLst>
            <c:ext xmlns:c16="http://schemas.microsoft.com/office/drawing/2014/chart" uri="{C3380CC4-5D6E-409C-BE32-E72D297353CC}">
              <c16:uniqueId val="{00000000-4A5A-453F-A0BD-0EDC34F3CFAE}"/>
            </c:ext>
          </c:extLst>
        </c:ser>
        <c:ser>
          <c:idx val="3"/>
          <c:order val="2"/>
          <c:tx>
            <c:strRef>
              <c:f>' sal SWV'!$F$261</c:f>
              <c:strCache>
                <c:ptCount val="1"/>
                <c:pt idx="0">
                  <c:v>werkgeverslasten</c:v>
                </c:pt>
              </c:strCache>
            </c:strRef>
          </c:tx>
          <c:spPr>
            <a:solidFill>
              <a:schemeClr val="accent3"/>
            </a:solidFill>
          </c:spPr>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SWV'!$F$262:$F$267</c15:sqref>
                  </c15:fullRef>
                </c:ext>
              </c:extLst>
              <c:f>' sal SWV'!$F$263:$F$267</c:f>
              <c:numCache>
                <c:formatCode>_-"€"\ * #,##0_-;_-"€"\ * #,##0\-;_-"€"\ * "-"??_-;_-@_-</c:formatCode>
                <c:ptCount val="5"/>
                <c:pt idx="0">
                  <c:v>28162.080000000002</c:v>
                </c:pt>
                <c:pt idx="1">
                  <c:v>30093.120000000003</c:v>
                </c:pt>
                <c:pt idx="2">
                  <c:v>32205.600000000002</c:v>
                </c:pt>
                <c:pt idx="3">
                  <c:v>34480.080000000002</c:v>
                </c:pt>
                <c:pt idx="4">
                  <c:v>36929.520000000004</c:v>
                </c:pt>
              </c:numCache>
            </c:numRef>
          </c:val>
          <c:extLst>
            <c:ext xmlns:c16="http://schemas.microsoft.com/office/drawing/2014/chart" uri="{C3380CC4-5D6E-409C-BE32-E72D297353CC}">
              <c16:uniqueId val="{00000001-4A5A-453F-A0BD-0EDC34F3CFAE}"/>
            </c:ext>
          </c:extLst>
        </c:ser>
        <c:ser>
          <c:idx val="4"/>
          <c:order val="3"/>
          <c:tx>
            <c:strRef>
              <c:f>' sal SWV'!$G$261</c:f>
              <c:strCache>
                <c:ptCount val="1"/>
                <c:pt idx="0">
                  <c:v> LFB-PB </c:v>
                </c:pt>
              </c:strCache>
            </c:strRef>
          </c:tx>
          <c:spPr>
            <a:solidFill>
              <a:schemeClr val="accent4"/>
            </a:solidFill>
          </c:spPr>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SWV'!$G$262:$G$267</c15:sqref>
                  </c15:fullRef>
                </c:ext>
              </c:extLst>
              <c:f>' sal SWV'!$G$263:$G$267</c:f>
              <c:numCache>
                <c:formatCode>_-"€"\ * #,##0_-;_-"€"\ * #,##0\-;_-"€"\ * "-"??_-;_-@_-</c:formatCode>
                <c:ptCount val="5"/>
                <c:pt idx="0">
                  <c:v>2420.5569620253164</c:v>
                </c:pt>
                <c:pt idx="1">
                  <c:v>2586.5316455696202</c:v>
                </c:pt>
                <c:pt idx="2">
                  <c:v>2768.1012658227851</c:v>
                </c:pt>
                <c:pt idx="3">
                  <c:v>2963.5949367088606</c:v>
                </c:pt>
                <c:pt idx="4">
                  <c:v>3174.1265822784812</c:v>
                </c:pt>
              </c:numCache>
            </c:numRef>
          </c:val>
          <c:extLst>
            <c:ext xmlns:c16="http://schemas.microsoft.com/office/drawing/2014/chart" uri="{C3380CC4-5D6E-409C-BE32-E72D297353CC}">
              <c16:uniqueId val="{00000002-4A5A-453F-A0BD-0EDC34F3CFAE}"/>
            </c:ext>
          </c:extLst>
        </c:ser>
        <c:ser>
          <c:idx val="0"/>
          <c:order val="4"/>
          <c:tx>
            <c:strRef>
              <c:f>' sal SWV'!$H$261</c:f>
              <c:strCache>
                <c:ptCount val="1"/>
                <c:pt idx="0">
                  <c:v> jubilea </c:v>
                </c:pt>
              </c:strCache>
            </c:strRef>
          </c:tx>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SWV'!$H$262:$H$267</c15:sqref>
                  </c15:fullRef>
                </c:ext>
              </c:extLst>
              <c:f>' sal SWV'!$H$263:$H$267</c:f>
              <c:numCache>
                <c:formatCode>_-"€"\ * #,##0_-;_-"€"\ * #,##0\-;_-"€"\ * "-"??_-;_-@_-</c:formatCode>
                <c:ptCount val="5"/>
                <c:pt idx="0">
                  <c:v>0</c:v>
                </c:pt>
                <c:pt idx="1">
                  <c:v>2507.7600000000002</c:v>
                </c:pt>
                <c:pt idx="2">
                  <c:v>0</c:v>
                </c:pt>
                <c:pt idx="3">
                  <c:v>0</c:v>
                </c:pt>
                <c:pt idx="4">
                  <c:v>0</c:v>
                </c:pt>
              </c:numCache>
            </c:numRef>
          </c:val>
          <c:extLst>
            <c:ext xmlns:c16="http://schemas.microsoft.com/office/drawing/2014/chart" uri="{C3380CC4-5D6E-409C-BE32-E72D297353CC}">
              <c16:uniqueId val="{00000003-4A5A-453F-A0BD-0EDC34F3CFAE}"/>
            </c:ext>
          </c:extLst>
        </c:ser>
        <c:dLbls>
          <c:showLegendKey val="0"/>
          <c:showVal val="0"/>
          <c:showCatName val="0"/>
          <c:showSerName val="0"/>
          <c:showPercent val="0"/>
          <c:showBubbleSize val="0"/>
        </c:dLbls>
        <c:gapWidth val="55"/>
        <c:overlap val="100"/>
        <c:axId val="637585088"/>
        <c:axId val="637581952"/>
        <c:extLst>
          <c:ext xmlns:c15="http://schemas.microsoft.com/office/drawing/2012/chart" uri="{02D57815-91ED-43cb-92C2-25804820EDAC}">
            <c15:filteredBarSeries>
              <c15:ser>
                <c:idx val="1"/>
                <c:order val="0"/>
                <c:tx>
                  <c:strRef>
                    <c:extLst>
                      <c:ext uri="{02D57815-91ED-43cb-92C2-25804820EDAC}">
                        <c15:formulaRef>
                          <c15:sqref>' sal SWV'!$D$261</c15:sqref>
                        </c15:formulaRef>
                      </c:ext>
                    </c:extLst>
                    <c:strCache>
                      <c:ptCount val="1"/>
                      <c:pt idx="0">
                        <c:v>1 okt.</c:v>
                      </c:pt>
                    </c:strCache>
                  </c:strRef>
                </c:tx>
                <c:spPr>
                  <a:solidFill>
                    <a:schemeClr val="accent1"/>
                  </a:solidFill>
                </c:spPr>
                <c:invertIfNegative val="0"/>
                <c:cat>
                  <c:numRef>
                    <c:extLst>
                      <c:ext uri="{02D57815-91ED-43cb-92C2-25804820EDAC}">
                        <c15:fullRef>
                          <c15:sqref>' sal SWV'!$D$262:$D$267</c15:sqref>
                        </c15:fullRef>
                        <c15:formulaRef>
                          <c15:sqref>' sal SWV'!$D$263:$D$267</c15:sqref>
                        </c15:formulaRef>
                      </c:ext>
                    </c:extLst>
                    <c:numCache>
                      <c:formatCode>General</c:formatCode>
                      <c:ptCount val="5"/>
                      <c:pt idx="0">
                        <c:v>2020</c:v>
                      </c:pt>
                      <c:pt idx="1">
                        <c:v>2021</c:v>
                      </c:pt>
                      <c:pt idx="2">
                        <c:v>2022</c:v>
                      </c:pt>
                      <c:pt idx="3">
                        <c:v>2023</c:v>
                      </c:pt>
                      <c:pt idx="4">
                        <c:v>2024</c:v>
                      </c:pt>
                    </c:numCache>
                  </c:numRef>
                </c:cat>
                <c:val>
                  <c:numRef>
                    <c:extLst>
                      <c:ext uri="{02D57815-91ED-43cb-92C2-25804820EDAC}">
                        <c15:fullRef>
                          <c15:sqref>' sal SWV'!$D$262:$D$267</c15:sqref>
                        </c15:fullRef>
                        <c15:formulaRef>
                          <c15:sqref>' sal SWV'!$D$263:$D$267</c15:sqref>
                        </c15:formulaRef>
                      </c:ext>
                    </c:extLst>
                    <c:numCache>
                      <c:formatCode>General</c:formatCode>
                      <c:ptCount val="5"/>
                      <c:pt idx="0">
                        <c:v>2020</c:v>
                      </c:pt>
                      <c:pt idx="1">
                        <c:v>2021</c:v>
                      </c:pt>
                      <c:pt idx="2">
                        <c:v>2022</c:v>
                      </c:pt>
                      <c:pt idx="3">
                        <c:v>2023</c:v>
                      </c:pt>
                      <c:pt idx="4">
                        <c:v>2024</c:v>
                      </c:pt>
                    </c:numCache>
                  </c:numRef>
                </c:val>
                <c:extLst>
                  <c:ext xmlns:c16="http://schemas.microsoft.com/office/drawing/2014/chart" uri="{C3380CC4-5D6E-409C-BE32-E72D297353CC}">
                    <c16:uniqueId val="{00000004-4A5A-453F-A0BD-0EDC34F3CFAE}"/>
                  </c:ext>
                </c:extLst>
              </c15:ser>
            </c15:filteredBarSeries>
          </c:ext>
        </c:extLst>
      </c:barChart>
      <c:catAx>
        <c:axId val="637585088"/>
        <c:scaling>
          <c:orientation val="minMax"/>
        </c:scaling>
        <c:delete val="0"/>
        <c:axPos val="b"/>
        <c:numFmt formatCode="General" sourceLinked="1"/>
        <c:majorTickMark val="none"/>
        <c:minorTickMark val="none"/>
        <c:tickLblPos val="nextTo"/>
        <c:txPr>
          <a:bodyPr rot="0" vert="horz"/>
          <a:lstStyle/>
          <a:p>
            <a:pPr>
              <a:defRPr/>
            </a:pPr>
            <a:endParaRPr lang="nl-NL"/>
          </a:p>
        </c:txPr>
        <c:crossAx val="637581952"/>
        <c:crosses val="autoZero"/>
        <c:auto val="1"/>
        <c:lblAlgn val="ctr"/>
        <c:lblOffset val="100"/>
        <c:noMultiLvlLbl val="0"/>
      </c:catAx>
      <c:valAx>
        <c:axId val="637581952"/>
        <c:scaling>
          <c:orientation val="minMax"/>
        </c:scaling>
        <c:delete val="0"/>
        <c:axPos val="l"/>
        <c:majorGridlines/>
        <c:numFmt formatCode="_-&quot;€&quot;\ * #,##0_-;_-&quot;€&quot;\ * #,##0\-;_-&quot;€&quot;\ * &quot;-&quot;??_-;_-@_-" sourceLinked="1"/>
        <c:majorTickMark val="none"/>
        <c:minorTickMark val="none"/>
        <c:tickLblPos val="nextTo"/>
        <c:txPr>
          <a:bodyPr rot="0" vert="horz"/>
          <a:lstStyle/>
          <a:p>
            <a:pPr>
              <a:defRPr/>
            </a:pPr>
            <a:endParaRPr lang="nl-NL"/>
          </a:p>
        </c:txPr>
        <c:crossAx val="637585088"/>
        <c:crosses val="autoZero"/>
        <c:crossBetween val="between"/>
      </c:valAx>
    </c:plotArea>
    <c:legend>
      <c:legendPos val="b"/>
      <c:overlay val="0"/>
    </c:legend>
    <c:plotVisOnly val="1"/>
    <c:dispBlanksAs val="gap"/>
    <c:showDLblsOverMax val="0"/>
  </c:chart>
  <c:spPr>
    <a:ln w="9525">
      <a:solidFill>
        <a:srgbClr val="000000"/>
      </a:solidFill>
    </a:ln>
  </c:spPr>
  <c:printSettings>
    <c:headerFooter/>
    <c:pageMargins b="0.75" l="0.7" r="0.7" t="0.75" header="0.3" footer="0.3"/>
    <c:pageSetup paperSize="9" orientation="landscape"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2</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tx>
            <c:strRef>
              <c:f>bal!$D$64</c:f>
              <c:strCache>
                <c:ptCount val="1"/>
                <c:pt idx="0">
                  <c:v>Solvabiliteit 2</c:v>
                </c:pt>
              </c:strCache>
            </c:strRef>
          </c:tx>
          <c:spPr>
            <a:solidFill>
              <a:srgbClr val="FF99CC"/>
            </a:solidFill>
            <a:ln w="12700">
              <a:solidFill>
                <a:srgbClr val="000000"/>
              </a:solidFill>
              <a:prstDash val="solid"/>
            </a:ln>
          </c:spPr>
          <c:invertIfNegative val="0"/>
          <c:dLbls>
            <c:delete val="1"/>
          </c:dLbls>
          <c:cat>
            <c:numRef>
              <c:extLst>
                <c:ext xmlns:c15="http://schemas.microsoft.com/office/drawing/2012/chart" uri="{02D57815-91ED-43cb-92C2-25804820EDAC}">
                  <c15:fullRef>
                    <c15:sqref>bal!$H$61:$M$61</c15:sqref>
                  </c15:fullRef>
                </c:ext>
              </c:extLst>
              <c:f>bal!$I$61:$M$61</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bal!$H$64:$M$64</c15:sqref>
                  </c15:fullRef>
                </c:ext>
              </c:extLst>
              <c:f>bal!$I$64:$M$64</c:f>
              <c:numCache>
                <c:formatCode>0.0%</c:formatCode>
                <c:ptCount val="5"/>
                <c:pt idx="0">
                  <c:v>1</c:v>
                </c:pt>
                <c:pt idx="1">
                  <c:v>1</c:v>
                </c:pt>
                <c:pt idx="2">
                  <c:v>1</c:v>
                </c:pt>
                <c:pt idx="3">
                  <c:v>1</c:v>
                </c:pt>
                <c:pt idx="4">
                  <c:v>1</c:v>
                </c:pt>
              </c:numCache>
            </c:numRef>
          </c:val>
          <c:extLst>
            <c:ext xmlns:c16="http://schemas.microsoft.com/office/drawing/2014/chart" uri="{C3380CC4-5D6E-409C-BE32-E72D297353CC}">
              <c16:uniqueId val="{00000000-F356-4DC4-A972-FE463402EAFE}"/>
            </c:ext>
          </c:extLst>
        </c:ser>
        <c:dLbls>
          <c:showLegendKey val="0"/>
          <c:showVal val="1"/>
          <c:showCatName val="0"/>
          <c:showSerName val="0"/>
          <c:showPercent val="0"/>
          <c:showBubbleSize val="0"/>
        </c:dLbls>
        <c:gapWidth val="150"/>
        <c:axId val="637587048"/>
        <c:axId val="637582736"/>
      </c:barChart>
      <c:catAx>
        <c:axId val="637587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2736"/>
        <c:crosses val="autoZero"/>
        <c:auto val="1"/>
        <c:lblAlgn val="ctr"/>
        <c:lblOffset val="100"/>
        <c:tickLblSkip val="1"/>
        <c:tickMarkSkip val="1"/>
        <c:noMultiLvlLbl val="0"/>
      </c:catAx>
      <c:valAx>
        <c:axId val="637582736"/>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63758704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Budget Materieel</a:t>
            </a:r>
          </a:p>
        </c:rich>
      </c:tx>
      <c:layout>
        <c:manualLayout>
          <c:xMode val="edge"/>
          <c:yMode val="edge"/>
          <c:x val="0.36017969332781069"/>
          <c:y val="3.5294117647058851E-2"/>
        </c:manualLayout>
      </c:layout>
      <c:overlay val="0"/>
      <c:spPr>
        <a:noFill/>
        <a:ln w="25400">
          <a:noFill/>
        </a:ln>
      </c:spPr>
    </c:title>
    <c:autoTitleDeleted val="0"/>
    <c:plotArea>
      <c:layout>
        <c:manualLayout>
          <c:layoutTarget val="inner"/>
          <c:xMode val="edge"/>
          <c:yMode val="edge"/>
          <c:x val="0.20581700445898976"/>
          <c:y val="0.19705910653019784"/>
          <c:w val="0.76286520130995161"/>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extLst>
                <c:ext xmlns:c15="http://schemas.microsoft.com/office/drawing/2012/chart" uri="{02D57815-91ED-43cb-92C2-25804820EDAC}">
                  <c15:fullRef>
                    <c15:sqref>tab!$F$4:$L$4</c15:sqref>
                  </c15:fullRef>
                </c:ext>
              </c:extLst>
              <c:f>tab!$G$4:$L$4</c:f>
              <c:numCache>
                <c:formatCode>0</c:formatCode>
                <c:ptCount val="7"/>
                <c:pt idx="0">
                  <c:v>2019</c:v>
                </c:pt>
                <c:pt idx="1">
                  <c:v>2020</c:v>
                </c:pt>
                <c:pt idx="2">
                  <c:v>2021</c:v>
                </c:pt>
                <c:pt idx="3">
                  <c:v>2022</c:v>
                </c:pt>
                <c:pt idx="4">
                  <c:v>2023</c:v>
                </c:pt>
                <c:pt idx="5">
                  <c:v>2024</c:v>
                </c:pt>
                <c:pt idx="6">
                  <c:v>2025</c:v>
                </c:pt>
              </c:numCache>
            </c:numRef>
          </c:cat>
          <c:val>
            <c:numRef>
              <c:extLst>
                <c:ext xmlns:c15="http://schemas.microsoft.com/office/drawing/2012/chart" uri="{02D57815-91ED-43cb-92C2-25804820EDAC}">
                  <c15:fullRef>
                    <c15:sqref>mat!$J$96:$O$96</c15:sqref>
                  </c15:fullRef>
                </c:ext>
              </c:extLst>
              <c:f>mat!$K$96:$O$96</c:f>
              <c:numCache>
                <c:formatCode>_-"€"\ * #,##0_-;_-"€"\ * #,##0\-;_-"€"\ * "-"_-;_-@_-</c:formatCode>
                <c:ptCount val="5"/>
                <c:pt idx="0">
                  <c:v>1002131.9209303092</c:v>
                </c:pt>
                <c:pt idx="1">
                  <c:v>985854.17839813011</c:v>
                </c:pt>
                <c:pt idx="2">
                  <c:v>985854.17839813011</c:v>
                </c:pt>
                <c:pt idx="3">
                  <c:v>985854.17839813011</c:v>
                </c:pt>
                <c:pt idx="4">
                  <c:v>985854.17839813011</c:v>
                </c:pt>
              </c:numCache>
            </c:numRef>
          </c:val>
          <c:extLst>
            <c:ext xmlns:c16="http://schemas.microsoft.com/office/drawing/2014/chart" uri="{C3380CC4-5D6E-409C-BE32-E72D297353CC}">
              <c16:uniqueId val="{00000000-3918-4341-A7A4-9222538E38AF}"/>
            </c:ext>
          </c:extLst>
        </c:ser>
        <c:ser>
          <c:idx val="1"/>
          <c:order val="1"/>
          <c:tx>
            <c:v>lasten</c:v>
          </c:tx>
          <c:spPr>
            <a:solidFill>
              <a:srgbClr val="FFCC99"/>
            </a:solidFill>
            <a:ln w="12700">
              <a:solidFill>
                <a:srgbClr val="000000"/>
              </a:solidFill>
              <a:prstDash val="solid"/>
            </a:ln>
          </c:spPr>
          <c:invertIfNegative val="0"/>
          <c:cat>
            <c:numRef>
              <c:extLst>
                <c:ext xmlns:c15="http://schemas.microsoft.com/office/drawing/2012/chart" uri="{02D57815-91ED-43cb-92C2-25804820EDAC}">
                  <c15:fullRef>
                    <c15:sqref>tab!$F$4:$L$4</c15:sqref>
                  </c15:fullRef>
                </c:ext>
              </c:extLst>
              <c:f>tab!$G$4:$L$4</c:f>
              <c:numCache>
                <c:formatCode>0</c:formatCode>
                <c:ptCount val="7"/>
                <c:pt idx="0">
                  <c:v>2019</c:v>
                </c:pt>
                <c:pt idx="1">
                  <c:v>2020</c:v>
                </c:pt>
                <c:pt idx="2">
                  <c:v>2021</c:v>
                </c:pt>
                <c:pt idx="3">
                  <c:v>2022</c:v>
                </c:pt>
                <c:pt idx="4">
                  <c:v>2023</c:v>
                </c:pt>
                <c:pt idx="5">
                  <c:v>2024</c:v>
                </c:pt>
                <c:pt idx="6">
                  <c:v>2025</c:v>
                </c:pt>
              </c:numCache>
            </c:numRef>
          </c:cat>
          <c:val>
            <c:numRef>
              <c:extLst>
                <c:ext xmlns:c15="http://schemas.microsoft.com/office/drawing/2012/chart" uri="{02D57815-91ED-43cb-92C2-25804820EDAC}">
                  <c15:fullRef>
                    <c15:sqref>mat!$J$188:$O$188</c15:sqref>
                  </c15:fullRef>
                </c:ext>
              </c:extLst>
              <c:f>mat!$K$188:$O$188</c:f>
              <c:numCache>
                <c:formatCode>_-"€"\ * #,##0_-;_-"€"\ * #,##0\-;_-"€"\ * "-"_-;_-@_-</c:formatCode>
                <c:ptCount val="5"/>
                <c:pt idx="0">
                  <c:v>476066.72000000003</c:v>
                </c:pt>
                <c:pt idx="1">
                  <c:v>472965.44</c:v>
                </c:pt>
                <c:pt idx="2">
                  <c:v>474926.24000000005</c:v>
                </c:pt>
                <c:pt idx="3">
                  <c:v>474926.24000000005</c:v>
                </c:pt>
                <c:pt idx="4">
                  <c:v>470863.28</c:v>
                </c:pt>
              </c:numCache>
            </c:numRef>
          </c:val>
          <c:extLst>
            <c:ext xmlns:c16="http://schemas.microsoft.com/office/drawing/2014/chart" uri="{C3380CC4-5D6E-409C-BE32-E72D297353CC}">
              <c16:uniqueId val="{00000001-3918-4341-A7A4-9222538E38AF}"/>
            </c:ext>
          </c:extLst>
        </c:ser>
        <c:dLbls>
          <c:showLegendKey val="0"/>
          <c:showVal val="0"/>
          <c:showCatName val="0"/>
          <c:showSerName val="0"/>
          <c:showPercent val="0"/>
          <c:showBubbleSize val="0"/>
        </c:dLbls>
        <c:gapWidth val="150"/>
        <c:axId val="514433576"/>
        <c:axId val="514439848"/>
      </c:barChart>
      <c:catAx>
        <c:axId val="51443357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14439848"/>
        <c:crosses val="autoZero"/>
        <c:auto val="1"/>
        <c:lblAlgn val="ctr"/>
        <c:lblOffset val="100"/>
        <c:tickLblSkip val="1"/>
        <c:tickMarkSkip val="1"/>
        <c:noMultiLvlLbl val="0"/>
      </c:catAx>
      <c:valAx>
        <c:axId val="51443984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1443357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9684261599775836"/>
          <c:y val="0.90882483459449515"/>
          <c:w val="0.2357897160667312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Totale baten / lasten</a:t>
            </a:r>
          </a:p>
        </c:rich>
      </c:tx>
      <c:layout>
        <c:manualLayout>
          <c:xMode val="edge"/>
          <c:yMode val="edge"/>
          <c:x val="0.33482183371146707"/>
          <c:y val="3.5294117647058851E-2"/>
        </c:manualLayout>
      </c:layout>
      <c:overlay val="0"/>
      <c:spPr>
        <a:noFill/>
        <a:ln w="25400">
          <a:noFill/>
        </a:ln>
      </c:spPr>
    </c:title>
    <c:autoTitleDeleted val="0"/>
    <c:plotArea>
      <c:layout>
        <c:manualLayout>
          <c:layoutTarget val="inner"/>
          <c:xMode val="edge"/>
          <c:yMode val="edge"/>
          <c:x val="0.22098238370882817"/>
          <c:y val="0.19705910653019784"/>
          <c:w val="0.74776867214603626"/>
          <c:h val="0.58823613889610338"/>
        </c:manualLayout>
      </c:layout>
      <c:barChart>
        <c:barDir val="col"/>
        <c:grouping val="clustered"/>
        <c:varyColors val="0"/>
        <c:ser>
          <c:idx val="0"/>
          <c:order val="0"/>
          <c:tx>
            <c:v>baten</c:v>
          </c:tx>
          <c:spPr>
            <a:solidFill>
              <a:srgbClr val="CCCCFF"/>
            </a:solidFill>
            <a:ln w="12700">
              <a:solidFill>
                <a:srgbClr val="000000"/>
              </a:solidFill>
              <a:prstDash val="solid"/>
            </a:ln>
          </c:spPr>
          <c:invertIfNegative val="0"/>
          <c:cat>
            <c:numRef>
              <c:extLst>
                <c:ext xmlns:c15="http://schemas.microsoft.com/office/drawing/2012/chart" uri="{02D57815-91ED-43cb-92C2-25804820EDAC}">
                  <c15:fullRef>
                    <c15:sqref>tab!$F$4:$K$4</c15:sqref>
                  </c15:fullRef>
                </c:ext>
              </c:extLst>
              <c:f>tab!$G$4:$K$4</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begr!$G$23:$L$23</c15:sqref>
                  </c15:fullRef>
                </c:ext>
              </c:extLst>
              <c:f>begr!$H$23:$L$23</c:f>
              <c:numCache>
                <c:formatCode>_-"€"\ * #,##0_-;_-"€"\ * #,##0\-;_-"€"\ * "-"_-;_-@_-</c:formatCode>
                <c:ptCount val="5"/>
                <c:pt idx="0">
                  <c:v>20073429.319975823</c:v>
                </c:pt>
                <c:pt idx="1">
                  <c:v>19640814.939132731</c:v>
                </c:pt>
                <c:pt idx="2">
                  <c:v>20113192.061947528</c:v>
                </c:pt>
                <c:pt idx="3">
                  <c:v>20113192.061947528</c:v>
                </c:pt>
                <c:pt idx="4">
                  <c:v>20113192.061947528</c:v>
                </c:pt>
              </c:numCache>
            </c:numRef>
          </c:val>
          <c:extLst>
            <c:ext xmlns:c16="http://schemas.microsoft.com/office/drawing/2014/chart" uri="{C3380CC4-5D6E-409C-BE32-E72D297353CC}">
              <c16:uniqueId val="{00000000-83BC-4449-BD8E-0D2946ED53D9}"/>
            </c:ext>
          </c:extLst>
        </c:ser>
        <c:ser>
          <c:idx val="1"/>
          <c:order val="1"/>
          <c:tx>
            <c:v>lasten</c:v>
          </c:tx>
          <c:spPr>
            <a:solidFill>
              <a:srgbClr val="FFCC99"/>
            </a:solidFill>
            <a:ln w="12700">
              <a:solidFill>
                <a:srgbClr val="000000"/>
              </a:solidFill>
              <a:prstDash val="solid"/>
            </a:ln>
          </c:spPr>
          <c:invertIfNegative val="0"/>
          <c:cat>
            <c:numRef>
              <c:extLst>
                <c:ext xmlns:c15="http://schemas.microsoft.com/office/drawing/2012/chart" uri="{02D57815-91ED-43cb-92C2-25804820EDAC}">
                  <c15:fullRef>
                    <c15:sqref>tab!$F$4:$K$4</c15:sqref>
                  </c15:fullRef>
                </c:ext>
              </c:extLst>
              <c:f>tab!$G$4:$K$4</c:f>
              <c:numCache>
                <c:formatCode>0</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begr!$G$35:$L$35</c15:sqref>
                  </c15:fullRef>
                </c:ext>
              </c:extLst>
              <c:f>begr!$H$35:$L$35</c:f>
              <c:numCache>
                <c:formatCode>_-"€"\ * #,##0_-;_-"€"\ * #,##0\-;_-"€"\ * "-"_-;_-@_-</c:formatCode>
                <c:ptCount val="5"/>
                <c:pt idx="0">
                  <c:v>8571959.5841666646</c:v>
                </c:pt>
                <c:pt idx="1">
                  <c:v>8855749.0108333342</c:v>
                </c:pt>
                <c:pt idx="2">
                  <c:v>8838389.5299999993</c:v>
                </c:pt>
                <c:pt idx="3">
                  <c:v>8844606.5099999998</c:v>
                </c:pt>
                <c:pt idx="4">
                  <c:v>8847237.9299999997</c:v>
                </c:pt>
              </c:numCache>
            </c:numRef>
          </c:val>
          <c:extLst>
            <c:ext xmlns:c16="http://schemas.microsoft.com/office/drawing/2014/chart" uri="{C3380CC4-5D6E-409C-BE32-E72D297353CC}">
              <c16:uniqueId val="{00000001-83BC-4449-BD8E-0D2946ED53D9}"/>
            </c:ext>
          </c:extLst>
        </c:ser>
        <c:dLbls>
          <c:showLegendKey val="0"/>
          <c:showVal val="0"/>
          <c:showCatName val="0"/>
          <c:showSerName val="0"/>
          <c:showPercent val="0"/>
          <c:showBubbleSize val="0"/>
        </c:dLbls>
        <c:gapWidth val="150"/>
        <c:axId val="514435144"/>
        <c:axId val="514437888"/>
      </c:barChart>
      <c:catAx>
        <c:axId val="514435144"/>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14437888"/>
        <c:crosses val="autoZero"/>
        <c:auto val="1"/>
        <c:lblAlgn val="ctr"/>
        <c:lblOffset val="100"/>
        <c:tickLblSkip val="1"/>
        <c:tickMarkSkip val="1"/>
        <c:noMultiLvlLbl val="0"/>
      </c:catAx>
      <c:valAx>
        <c:axId val="514437888"/>
        <c:scaling>
          <c:orientation val="minMax"/>
        </c:scaling>
        <c:delete val="0"/>
        <c:axPos val="l"/>
        <c:numFmt formatCode="_-&quot;€&quot;\ * #,##0_-;_-&quot;€&quot;\ * #,##0\-;_-&quot;€&quot;\ *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51443514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legend>
      <c:legendPos val="r"/>
      <c:layout>
        <c:manualLayout>
          <c:xMode val="edge"/>
          <c:yMode val="edge"/>
          <c:x val="0.4788140546523838"/>
          <c:y val="0.90882483459449515"/>
          <c:w val="0.23516973480714501"/>
          <c:h val="7.0588336667533128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Materiële vaste activa</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3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_("€"* #.##0_);_("€"* \(#.##0\);_("€"* "-"_);_(@_)</c:formatCode>
              <c:ptCount val="4"/>
              <c:pt idx="0">
                <c:v>0</c:v>
              </c:pt>
              <c:pt idx="1">
                <c:v>0</c:v>
              </c:pt>
              <c:pt idx="2">
                <c:v>0</c:v>
              </c:pt>
              <c:pt idx="3">
                <c:v>0</c:v>
              </c:pt>
            </c:numLit>
          </c:val>
          <c:extLst>
            <c:ext xmlns:c16="http://schemas.microsoft.com/office/drawing/2014/chart" uri="{C3380CC4-5D6E-409C-BE32-E72D297353CC}">
              <c16:uniqueId val="{00000000-2A09-4337-A93A-D1CA96399B65}"/>
            </c:ext>
          </c:extLst>
        </c:ser>
        <c:dLbls>
          <c:showLegendKey val="0"/>
          <c:showVal val="1"/>
          <c:showCatName val="0"/>
          <c:showSerName val="0"/>
          <c:showPercent val="0"/>
          <c:showBubbleSize val="0"/>
        </c:dLbls>
        <c:gapWidth val="150"/>
        <c:axId val="514438280"/>
        <c:axId val="332069416"/>
      </c:barChart>
      <c:catAx>
        <c:axId val="514438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2069416"/>
        <c:crosses val="autoZero"/>
        <c:auto val="1"/>
        <c:lblAlgn val="ctr"/>
        <c:lblOffset val="100"/>
        <c:tickLblSkip val="1"/>
        <c:tickMarkSkip val="1"/>
        <c:noMultiLvlLbl val="0"/>
      </c:catAx>
      <c:valAx>
        <c:axId val="332069416"/>
        <c:scaling>
          <c:orientation val="minMax"/>
        </c:scaling>
        <c:delete val="0"/>
        <c:axPos val="l"/>
        <c:numFmt formatCode="_(&quot;€&quot;* #.##0_);_(&quot;€&quot;* \(#.##0\);_(&quot;€&quot;* &quot;-&quot;_);_(@_)"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514438280"/>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00" b="0" i="0" u="none" strike="noStrike" baseline="0">
          <a:solidFill>
            <a:srgbClr val="000000"/>
          </a:solidFill>
          <a:latin typeface="Arial"/>
          <a:ea typeface="Arial"/>
          <a:cs typeface="Arial"/>
        </a:defRPr>
      </a:pPr>
      <a:endParaRPr lang="nl-NL"/>
    </a:p>
  </c:txPr>
  <c:printSettings>
    <c:headerFooter alignWithMargins="0">
      <c:oddHeader>&amp;L&amp;"Arial,Vet"&amp;F&amp;R&amp;"Arial,Vet"&amp;A</c:oddHeader>
      <c:oddFooter>&amp;L&amp;"Arial,Vet"keizer / goedhart&amp;C&amp;"Arial,Vet"&amp;D&amp;R&amp;"Arial,Vet"pagina &amp;P</c:oddFooter>
    </c:headerFooter>
    <c:pageMargins b="1" l="0.75000000000000411" r="0.75000000000000411" t="1" header="0.5" footer="0.5"/>
    <c:pageSetup paperSize="9"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nl-NL"/>
              <a:t>Opbouw loonkosten peildatum 1 okt. </a:t>
            </a:r>
          </a:p>
        </c:rich>
      </c:tx>
      <c:overlay val="0"/>
      <c:spPr>
        <a:noFill/>
        <a:ln w="25400">
          <a:noFill/>
        </a:ln>
      </c:spPr>
    </c:title>
    <c:autoTitleDeleted val="0"/>
    <c:plotArea>
      <c:layout/>
      <c:barChart>
        <c:barDir val="col"/>
        <c:grouping val="percentStacked"/>
        <c:varyColors val="0"/>
        <c:ser>
          <c:idx val="0"/>
          <c:order val="0"/>
          <c:tx>
            <c:strRef>
              <c:f>' sal SWV'!$E$261</c:f>
              <c:strCache>
                <c:ptCount val="1"/>
                <c:pt idx="0">
                  <c:v> bruto maandsalaris </c:v>
                </c:pt>
              </c:strCache>
            </c:strRef>
          </c:tx>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SWV'!$E$262:$E$267</c15:sqref>
                  </c15:fullRef>
                </c:ext>
              </c:extLst>
              <c:f>' sal SWV'!$E$263:$E$267</c:f>
              <c:numCache>
                <c:formatCode>_-"€"\ * #,##0_-;_-"€"\ * #,##0\-;_-"€"\ * "-"??_-;_-@_-</c:formatCode>
                <c:ptCount val="5"/>
                <c:pt idx="0">
                  <c:v>52152</c:v>
                </c:pt>
                <c:pt idx="1">
                  <c:v>55728</c:v>
                </c:pt>
                <c:pt idx="2">
                  <c:v>59640</c:v>
                </c:pt>
                <c:pt idx="3">
                  <c:v>63852</c:v>
                </c:pt>
                <c:pt idx="4">
                  <c:v>68388</c:v>
                </c:pt>
              </c:numCache>
            </c:numRef>
          </c:val>
          <c:extLst>
            <c:ext xmlns:c16="http://schemas.microsoft.com/office/drawing/2014/chart" uri="{C3380CC4-5D6E-409C-BE32-E72D297353CC}">
              <c16:uniqueId val="{00000000-4758-4CF6-A509-AAA4E6EFC6F1}"/>
            </c:ext>
          </c:extLst>
        </c:ser>
        <c:ser>
          <c:idx val="1"/>
          <c:order val="1"/>
          <c:tx>
            <c:strRef>
              <c:f>' sal SWV'!$F$261</c:f>
              <c:strCache>
                <c:ptCount val="1"/>
                <c:pt idx="0">
                  <c:v>werkgeverslasten</c:v>
                </c:pt>
              </c:strCache>
            </c:strRef>
          </c:tx>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SWV'!$F$262:$F$267</c15:sqref>
                  </c15:fullRef>
                </c:ext>
              </c:extLst>
              <c:f>' sal SWV'!$F$263:$F$267</c:f>
              <c:numCache>
                <c:formatCode>_-"€"\ * #,##0_-;_-"€"\ * #,##0\-;_-"€"\ * "-"??_-;_-@_-</c:formatCode>
                <c:ptCount val="5"/>
                <c:pt idx="0">
                  <c:v>28162.080000000002</c:v>
                </c:pt>
                <c:pt idx="1">
                  <c:v>30093.120000000003</c:v>
                </c:pt>
                <c:pt idx="2">
                  <c:v>32205.600000000002</c:v>
                </c:pt>
                <c:pt idx="3">
                  <c:v>34480.080000000002</c:v>
                </c:pt>
                <c:pt idx="4">
                  <c:v>36929.520000000004</c:v>
                </c:pt>
              </c:numCache>
            </c:numRef>
          </c:val>
          <c:extLst>
            <c:ext xmlns:c16="http://schemas.microsoft.com/office/drawing/2014/chart" uri="{C3380CC4-5D6E-409C-BE32-E72D297353CC}">
              <c16:uniqueId val="{00000001-4758-4CF6-A509-AAA4E6EFC6F1}"/>
            </c:ext>
          </c:extLst>
        </c:ser>
        <c:ser>
          <c:idx val="2"/>
          <c:order val="2"/>
          <c:tx>
            <c:strRef>
              <c:f>' sal SWV'!$G$261</c:f>
              <c:strCache>
                <c:ptCount val="1"/>
                <c:pt idx="0">
                  <c:v> LFB-PB </c:v>
                </c:pt>
              </c:strCache>
            </c:strRef>
          </c:tx>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SWV'!$G$262:$G$267</c15:sqref>
                  </c15:fullRef>
                </c:ext>
              </c:extLst>
              <c:f>' sal SWV'!$G$263:$G$267</c:f>
              <c:numCache>
                <c:formatCode>_-"€"\ * #,##0_-;_-"€"\ * #,##0\-;_-"€"\ * "-"??_-;_-@_-</c:formatCode>
                <c:ptCount val="5"/>
                <c:pt idx="0">
                  <c:v>2420.5569620253164</c:v>
                </c:pt>
                <c:pt idx="1">
                  <c:v>2586.5316455696202</c:v>
                </c:pt>
                <c:pt idx="2">
                  <c:v>2768.1012658227851</c:v>
                </c:pt>
                <c:pt idx="3">
                  <c:v>2963.5949367088606</c:v>
                </c:pt>
                <c:pt idx="4">
                  <c:v>3174.1265822784812</c:v>
                </c:pt>
              </c:numCache>
            </c:numRef>
          </c:val>
          <c:extLst>
            <c:ext xmlns:c16="http://schemas.microsoft.com/office/drawing/2014/chart" uri="{C3380CC4-5D6E-409C-BE32-E72D297353CC}">
              <c16:uniqueId val="{00000002-4758-4CF6-A509-AAA4E6EFC6F1}"/>
            </c:ext>
          </c:extLst>
        </c:ser>
        <c:ser>
          <c:idx val="3"/>
          <c:order val="3"/>
          <c:tx>
            <c:strRef>
              <c:f>' sal SWV'!$H$261</c:f>
              <c:strCache>
                <c:ptCount val="1"/>
                <c:pt idx="0">
                  <c:v> jubilea </c:v>
                </c:pt>
              </c:strCache>
            </c:strRef>
          </c:tx>
          <c:invertIfNegative val="0"/>
          <c:cat>
            <c:numRef>
              <c:extLst>
                <c:ext xmlns:c15="http://schemas.microsoft.com/office/drawing/2012/chart" uri="{02D57815-91ED-43cb-92C2-25804820EDAC}">
                  <c15:fullRef>
                    <c15:sqref>' sal SWV'!$D$262:$D$267</c15:sqref>
                  </c15:fullRef>
                </c:ext>
              </c:extLst>
              <c:f>' sal SWV'!$D$263:$D$267</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 sal SWV'!$H$262:$H$267</c15:sqref>
                  </c15:fullRef>
                </c:ext>
              </c:extLst>
              <c:f>' sal SWV'!$H$263:$H$267</c:f>
              <c:numCache>
                <c:formatCode>_-"€"\ * #,##0_-;_-"€"\ * #,##0\-;_-"€"\ * "-"??_-;_-@_-</c:formatCode>
                <c:ptCount val="5"/>
                <c:pt idx="0">
                  <c:v>0</c:v>
                </c:pt>
                <c:pt idx="1">
                  <c:v>2507.7600000000002</c:v>
                </c:pt>
                <c:pt idx="2">
                  <c:v>0</c:v>
                </c:pt>
                <c:pt idx="3">
                  <c:v>0</c:v>
                </c:pt>
                <c:pt idx="4">
                  <c:v>0</c:v>
                </c:pt>
              </c:numCache>
            </c:numRef>
          </c:val>
          <c:extLst>
            <c:ext xmlns:c16="http://schemas.microsoft.com/office/drawing/2014/chart" uri="{C3380CC4-5D6E-409C-BE32-E72D297353CC}">
              <c16:uniqueId val="{00000003-4758-4CF6-A509-AAA4E6EFC6F1}"/>
            </c:ext>
          </c:extLst>
        </c:ser>
        <c:dLbls>
          <c:showLegendKey val="0"/>
          <c:showVal val="0"/>
          <c:showCatName val="0"/>
          <c:showSerName val="0"/>
          <c:showPercent val="0"/>
          <c:showBubbleSize val="0"/>
        </c:dLbls>
        <c:gapWidth val="75"/>
        <c:overlap val="100"/>
        <c:axId val="332069808"/>
        <c:axId val="332070592"/>
      </c:barChart>
      <c:catAx>
        <c:axId val="332069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2070592"/>
        <c:crosses val="autoZero"/>
        <c:auto val="1"/>
        <c:lblAlgn val="ctr"/>
        <c:lblOffset val="100"/>
        <c:tickLblSkip val="1"/>
        <c:tickMarkSkip val="1"/>
        <c:noMultiLvlLbl val="0"/>
      </c:catAx>
      <c:valAx>
        <c:axId val="332070592"/>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nl-NL"/>
          </a:p>
        </c:txPr>
        <c:crossAx val="332069808"/>
        <c:crosses val="autoZero"/>
        <c:crossBetween val="between"/>
        <c:majorUnit val="0.2"/>
      </c:valAx>
      <c:spPr>
        <a:gradFill rotWithShape="0">
          <a:gsLst>
            <a:gs pos="0">
              <a:srgbClr val="FFFFFF"/>
            </a:gs>
            <a:gs pos="100000">
              <a:srgbClr val="C0C0C0"/>
            </a:gs>
          </a:gsLst>
          <a:lin ang="5400000" scaled="1"/>
        </a:gradFill>
        <a:ln w="12700">
          <a:solidFill>
            <a:srgbClr val="808080"/>
          </a:solidFill>
          <a:prstDash val="solid"/>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nl-NL"/>
              <a:t>Vreemd Vermogen</a:t>
            </a:r>
          </a:p>
        </c:rich>
      </c:tx>
      <c:overlay val="0"/>
      <c:spPr>
        <a:noFill/>
        <a:ln w="25400">
          <a:noFill/>
        </a:ln>
      </c:spPr>
    </c:title>
    <c:autoTitleDeleted val="0"/>
    <c:plotArea>
      <c:layout/>
      <c:barChart>
        <c:barDir val="col"/>
        <c:grouping val="clustered"/>
        <c:varyColors val="0"/>
        <c:ser>
          <c:idx val="0"/>
          <c:order val="0"/>
          <c:spPr>
            <a:solidFill>
              <a:srgbClr val="CC99FF"/>
            </a:solidFill>
            <a:ln w="12700">
              <a:solidFill>
                <a:srgbClr val="000000"/>
              </a:solidFill>
              <a:prstDash val="solid"/>
            </a:ln>
          </c:spPr>
          <c:invertIfNegative val="0"/>
          <c:dLbls>
            <c:spPr>
              <a:noFill/>
              <a:ln w="25400">
                <a:noFill/>
              </a:ln>
            </c:spPr>
            <c:txPr>
              <a:bodyPr/>
              <a:lstStyle/>
              <a:p>
                <a:pPr>
                  <a:defRPr sz="27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4"/>
              <c:pt idx="0">
                <c:v>2013</c:v>
              </c:pt>
              <c:pt idx="1">
                <c:v>2014</c:v>
              </c:pt>
              <c:pt idx="2">
                <c:v>2015</c:v>
              </c:pt>
              <c:pt idx="3">
                <c:v>2016</c:v>
              </c:pt>
            </c:numLit>
          </c:cat>
          <c:val>
            <c:numLit>
              <c:formatCode>General</c:formatCode>
              <c:ptCount val="1"/>
              <c:pt idx="0">
                <c:v>0</c:v>
              </c:pt>
            </c:numLit>
          </c:val>
          <c:extLst>
            <c:ext xmlns:c16="http://schemas.microsoft.com/office/drawing/2014/chart" uri="{C3380CC4-5D6E-409C-BE32-E72D297353CC}">
              <c16:uniqueId val="{00000000-8C09-450B-8466-FCFCF99FF9B6}"/>
            </c:ext>
          </c:extLst>
        </c:ser>
        <c:dLbls>
          <c:showLegendKey val="0"/>
          <c:showVal val="1"/>
          <c:showCatName val="0"/>
          <c:showSerName val="0"/>
          <c:showPercent val="0"/>
          <c:showBubbleSize val="0"/>
        </c:dLbls>
        <c:gapWidth val="150"/>
        <c:axId val="332072944"/>
        <c:axId val="332072552"/>
      </c:barChart>
      <c:catAx>
        <c:axId val="33207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2072552"/>
        <c:crosses val="autoZero"/>
        <c:auto val="1"/>
        <c:lblAlgn val="ctr"/>
        <c:lblOffset val="100"/>
        <c:tickLblSkip val="1"/>
        <c:tickMarkSkip val="1"/>
        <c:noMultiLvlLbl val="0"/>
      </c:catAx>
      <c:valAx>
        <c:axId val="332072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nl-NL"/>
          </a:p>
        </c:txPr>
        <c:crossAx val="332072944"/>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Solvabiliteit 1</a:t>
            </a:r>
          </a:p>
        </c:rich>
      </c:tx>
      <c:layout>
        <c:manualLayout>
          <c:xMode val="edge"/>
          <c:yMode val="edge"/>
          <c:x val="0.40178610026687972"/>
          <c:y val="3.5294117647058851E-2"/>
        </c:manualLayout>
      </c:layout>
      <c:overlay val="0"/>
      <c:spPr>
        <a:noFill/>
        <a:ln w="25400">
          <a:noFill/>
        </a:ln>
      </c:spPr>
    </c:title>
    <c:autoTitleDeleted val="0"/>
    <c:plotArea>
      <c:layout>
        <c:manualLayout>
          <c:layoutTarget val="inner"/>
          <c:xMode val="edge"/>
          <c:yMode val="edge"/>
          <c:x val="0.11607155507938396"/>
          <c:y val="0.19705910653019784"/>
          <c:w val="0.8526795007754796"/>
          <c:h val="0.67058919834156472"/>
        </c:manualLayout>
      </c:layout>
      <c:barChart>
        <c:barDir val="col"/>
        <c:grouping val="clustered"/>
        <c:varyColors val="0"/>
        <c:ser>
          <c:idx val="0"/>
          <c:order val="0"/>
          <c:tx>
            <c:strRef>
              <c:f>bal!$D$63</c:f>
              <c:strCache>
                <c:ptCount val="1"/>
                <c:pt idx="0">
                  <c:v>Solvabiliteit 1</c:v>
                </c:pt>
              </c:strCache>
            </c:strRef>
          </c:tx>
          <c:spPr>
            <a:solidFill>
              <a:srgbClr val="FF99CC"/>
            </a:solidFill>
            <a:ln w="12700">
              <a:solidFill>
                <a:srgbClr val="000000"/>
              </a:solidFill>
              <a:prstDash val="solid"/>
            </a:ln>
          </c:spPr>
          <c:invertIfNegative val="0"/>
          <c:dLbls>
            <c:delete val="1"/>
          </c:dLbls>
          <c:cat>
            <c:numRef>
              <c:extLst>
                <c:ext xmlns:c15="http://schemas.microsoft.com/office/drawing/2012/chart" uri="{02D57815-91ED-43cb-92C2-25804820EDAC}">
                  <c15:fullRef>
                    <c15:sqref>bal!$H$61:$M$61</c15:sqref>
                  </c15:fullRef>
                </c:ext>
              </c:extLst>
              <c:f>bal!$I$61:$M$61</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bal!$H$63:$M$63</c15:sqref>
                  </c15:fullRef>
                </c:ext>
              </c:extLst>
              <c:f>bal!$I$63:$M$63</c:f>
              <c:numCache>
                <c:formatCode>0.0%</c:formatCode>
                <c:ptCount val="5"/>
                <c:pt idx="0">
                  <c:v>1</c:v>
                </c:pt>
                <c:pt idx="1">
                  <c:v>1</c:v>
                </c:pt>
                <c:pt idx="2">
                  <c:v>1.0000468286974109</c:v>
                </c:pt>
                <c:pt idx="3">
                  <c:v>1.0000746655350869</c:v>
                </c:pt>
                <c:pt idx="4">
                  <c:v>1.0000559079415885</c:v>
                </c:pt>
              </c:numCache>
            </c:numRef>
          </c:val>
          <c:extLst>
            <c:ext xmlns:c16="http://schemas.microsoft.com/office/drawing/2014/chart" uri="{C3380CC4-5D6E-409C-BE32-E72D297353CC}">
              <c16:uniqueId val="{00000000-8AE4-40D5-B933-237ED847290E}"/>
            </c:ext>
          </c:extLst>
        </c:ser>
        <c:dLbls>
          <c:showLegendKey val="0"/>
          <c:showVal val="1"/>
          <c:showCatName val="0"/>
          <c:showSerName val="0"/>
          <c:showPercent val="0"/>
          <c:showBubbleSize val="0"/>
        </c:dLbls>
        <c:gapWidth val="150"/>
        <c:axId val="332073336"/>
        <c:axId val="332067848"/>
      </c:barChart>
      <c:catAx>
        <c:axId val="332073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2067848"/>
        <c:crosses val="autoZero"/>
        <c:auto val="1"/>
        <c:lblAlgn val="ctr"/>
        <c:lblOffset val="100"/>
        <c:tickLblSkip val="1"/>
        <c:tickMarkSkip val="1"/>
        <c:noMultiLvlLbl val="0"/>
      </c:catAx>
      <c:valAx>
        <c:axId val="332067848"/>
        <c:scaling>
          <c:orientation val="minMax"/>
          <c:max val="1"/>
        </c:scaling>
        <c:delete val="0"/>
        <c:axPos val="l"/>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32073336"/>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nl-NL"/>
              <a:t>Liquiditeit</a:t>
            </a:r>
          </a:p>
        </c:rich>
      </c:tx>
      <c:layout>
        <c:manualLayout>
          <c:xMode val="edge"/>
          <c:yMode val="edge"/>
          <c:x val="0.41741110386679381"/>
          <c:y val="3.5398230088495596E-2"/>
        </c:manualLayout>
      </c:layout>
      <c:overlay val="0"/>
      <c:spPr>
        <a:noFill/>
        <a:ln w="25400">
          <a:noFill/>
        </a:ln>
      </c:spPr>
    </c:title>
    <c:autoTitleDeleted val="0"/>
    <c:plotArea>
      <c:layout>
        <c:manualLayout>
          <c:layoutTarget val="inner"/>
          <c:xMode val="edge"/>
          <c:yMode val="edge"/>
          <c:x val="0.10044653804946685"/>
          <c:y val="0.19764068734065987"/>
          <c:w val="0.86830451780539164"/>
          <c:h val="0.66961844815418536"/>
        </c:manualLayout>
      </c:layout>
      <c:barChart>
        <c:barDir val="col"/>
        <c:grouping val="clustered"/>
        <c:varyColors val="0"/>
        <c:ser>
          <c:idx val="0"/>
          <c:order val="0"/>
          <c:tx>
            <c:strRef>
              <c:f>bal!$D$65</c:f>
              <c:strCache>
                <c:ptCount val="1"/>
                <c:pt idx="0">
                  <c:v>Liquiditeit</c:v>
                </c:pt>
              </c:strCache>
            </c:strRef>
          </c:tx>
          <c:spPr>
            <a:solidFill>
              <a:srgbClr val="FF99CC"/>
            </a:solidFill>
            <a:ln w="12700">
              <a:solidFill>
                <a:srgbClr val="000000"/>
              </a:solidFill>
              <a:prstDash val="solid"/>
            </a:ln>
          </c:spPr>
          <c:invertIfNegative val="0"/>
          <c:dLbls>
            <c:delete val="1"/>
          </c:dLbls>
          <c:cat>
            <c:numRef>
              <c:extLst>
                <c:ext xmlns:c15="http://schemas.microsoft.com/office/drawing/2012/chart" uri="{02D57815-91ED-43cb-92C2-25804820EDAC}">
                  <c15:fullRef>
                    <c15:sqref>bal!$H$61:$M$61</c15:sqref>
                  </c15:fullRef>
                </c:ext>
              </c:extLst>
              <c:f>bal!$I$61:$M$61</c:f>
              <c:numCache>
                <c:formatCode>General</c:formatCode>
                <c:ptCount val="5"/>
                <c:pt idx="0">
                  <c:v>2020</c:v>
                </c:pt>
                <c:pt idx="1">
                  <c:v>2021</c:v>
                </c:pt>
                <c:pt idx="2">
                  <c:v>2022</c:v>
                </c:pt>
                <c:pt idx="3">
                  <c:v>2023</c:v>
                </c:pt>
                <c:pt idx="4">
                  <c:v>2024</c:v>
                </c:pt>
              </c:numCache>
            </c:numRef>
          </c:cat>
          <c:val>
            <c:numRef>
              <c:extLst>
                <c:ext xmlns:c15="http://schemas.microsoft.com/office/drawing/2012/chart" uri="{02D57815-91ED-43cb-92C2-25804820EDAC}">
                  <c15:fullRef>
                    <c15:sqref>bal!$H$65:$M$65</c15:sqref>
                  </c15:fullRef>
                </c:ext>
              </c:extLst>
              <c:f>bal!$I$65:$M$65</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FBE9-4D90-AB19-ABE82B5200CD}"/>
            </c:ext>
          </c:extLst>
        </c:ser>
        <c:dLbls>
          <c:showLegendKey val="0"/>
          <c:showVal val="1"/>
          <c:showCatName val="0"/>
          <c:showSerName val="0"/>
          <c:showPercent val="0"/>
          <c:showBubbleSize val="0"/>
        </c:dLbls>
        <c:gapWidth val="150"/>
        <c:axId val="362709968"/>
        <c:axId val="362711144"/>
      </c:barChart>
      <c:catAx>
        <c:axId val="3627099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62711144"/>
        <c:crosses val="autoZero"/>
        <c:auto val="1"/>
        <c:lblAlgn val="ctr"/>
        <c:lblOffset val="100"/>
        <c:tickLblSkip val="1"/>
        <c:tickMarkSkip val="1"/>
        <c:noMultiLvlLbl val="0"/>
      </c:catAx>
      <c:valAx>
        <c:axId val="362711144"/>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362709968"/>
        <c:crosses val="autoZero"/>
        <c:crossBetween val="between"/>
      </c:valAx>
      <c:spPr>
        <a:gradFill rotWithShape="0">
          <a:gsLst>
            <a:gs pos="0">
              <a:srgbClr val="FFFFFF"/>
            </a:gs>
            <a:gs pos="100000">
              <a:srgbClr val="C0C0C0"/>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000000000000411" r="0.7500000000000041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image" Target="../media/image1.png"/><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2.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6.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449915</xdr:colOff>
      <xdr:row>55</xdr:row>
      <xdr:rowOff>47625</xdr:rowOff>
    </xdr:from>
    <xdr:to>
      <xdr:col>12</xdr:col>
      <xdr:colOff>106259</xdr:colOff>
      <xdr:row>60</xdr:row>
      <xdr:rowOff>8871</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822015" y="6076950"/>
          <a:ext cx="1580394" cy="7708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19</xdr:col>
      <xdr:colOff>314696</xdr:colOff>
      <xdr:row>2</xdr:row>
      <xdr:rowOff>56030</xdr:rowOff>
    </xdr:from>
    <xdr:to>
      <xdr:col>21</xdr:col>
      <xdr:colOff>451772</xdr:colOff>
      <xdr:row>6</xdr:row>
      <xdr:rowOff>46411</xdr:rowOff>
    </xdr:to>
    <xdr:pic>
      <xdr:nvPicPr>
        <xdr:cNvPr id="4" name="Afbeelding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12641167" y="369795"/>
          <a:ext cx="1571429" cy="7523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997325</xdr:colOff>
      <xdr:row>2</xdr:row>
      <xdr:rowOff>112059</xdr:rowOff>
    </xdr:from>
    <xdr:to>
      <xdr:col>9</xdr:col>
      <xdr:colOff>462048</xdr:colOff>
      <xdr:row>6</xdr:row>
      <xdr:rowOff>102440</xdr:rowOff>
    </xdr:to>
    <xdr:pic>
      <xdr:nvPicPr>
        <xdr:cNvPr id="4" name="Afbeelding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6096001" y="425824"/>
          <a:ext cx="1571429" cy="75238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743789</xdr:colOff>
      <xdr:row>2</xdr:row>
      <xdr:rowOff>35720</xdr:rowOff>
    </xdr:from>
    <xdr:to>
      <xdr:col>10</xdr:col>
      <xdr:colOff>74041</xdr:colOff>
      <xdr:row>5</xdr:row>
      <xdr:rowOff>160572</xdr:rowOff>
    </xdr:to>
    <xdr:pic>
      <xdr:nvPicPr>
        <xdr:cNvPr id="4" name="Afbeelding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7935164" y="369095"/>
          <a:ext cx="1568627" cy="767790"/>
        </a:xfrm>
        <a:prstGeom prst="rect">
          <a:avLst/>
        </a:prstGeom>
      </xdr:spPr>
    </xdr:pic>
    <xdr:clientData/>
  </xdr:twoCellAnchor>
  <xdr:twoCellAnchor editAs="oneCell">
    <xdr:from>
      <xdr:col>8</xdr:col>
      <xdr:colOff>517571</xdr:colOff>
      <xdr:row>53</xdr:row>
      <xdr:rowOff>130969</xdr:rowOff>
    </xdr:from>
    <xdr:to>
      <xdr:col>9</xdr:col>
      <xdr:colOff>967011</xdr:colOff>
      <xdr:row>57</xdr:row>
      <xdr:rowOff>60232</xdr:rowOff>
    </xdr:to>
    <xdr:pic>
      <xdr:nvPicPr>
        <xdr:cNvPr id="3" name="Afbeelding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7708946" y="9001125"/>
          <a:ext cx="1568627" cy="762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10</xdr:col>
      <xdr:colOff>518272</xdr:colOff>
      <xdr:row>2</xdr:row>
      <xdr:rowOff>51828</xdr:rowOff>
    </xdr:from>
    <xdr:to>
      <xdr:col>11</xdr:col>
      <xdr:colOff>978219</xdr:colOff>
      <xdr:row>6</xdr:row>
      <xdr:rowOff>19797</xdr:rowOff>
    </xdr:to>
    <xdr:pic>
      <xdr:nvPicPr>
        <xdr:cNvPr id="4" name="Afbeelding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8828835" y="385203"/>
          <a:ext cx="1567228" cy="77759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683559</xdr:colOff>
      <xdr:row>1</xdr:row>
      <xdr:rowOff>89648</xdr:rowOff>
    </xdr:from>
    <xdr:to>
      <xdr:col>10</xdr:col>
      <xdr:colOff>13812</xdr:colOff>
      <xdr:row>5</xdr:row>
      <xdr:rowOff>57617</xdr:rowOff>
    </xdr:to>
    <xdr:pic>
      <xdr:nvPicPr>
        <xdr:cNvPr id="4" name="Afbeelding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8998324" y="246530"/>
          <a:ext cx="1571429" cy="7523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392205</xdr:colOff>
      <xdr:row>2</xdr:row>
      <xdr:rowOff>22411</xdr:rowOff>
    </xdr:from>
    <xdr:to>
      <xdr:col>9</xdr:col>
      <xdr:colOff>977516</xdr:colOff>
      <xdr:row>5</xdr:row>
      <xdr:rowOff>147263</xdr:rowOff>
    </xdr:to>
    <xdr:pic>
      <xdr:nvPicPr>
        <xdr:cNvPr id="3" name="Afbeelding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9155205" y="336176"/>
          <a:ext cx="1571429" cy="7523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0</xdr:colOff>
      <xdr:row>119</xdr:row>
      <xdr:rowOff>0</xdr:rowOff>
    </xdr:from>
    <xdr:to>
      <xdr:col>17</xdr:col>
      <xdr:colOff>9525</xdr:colOff>
      <xdr:row>119</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156882</xdr:colOff>
      <xdr:row>6</xdr:row>
      <xdr:rowOff>143996</xdr:rowOff>
    </xdr:from>
    <xdr:to>
      <xdr:col>16</xdr:col>
      <xdr:colOff>539563</xdr:colOff>
      <xdr:row>26</xdr:row>
      <xdr:rowOff>153520</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177613</xdr:colOff>
      <xdr:row>50</xdr:row>
      <xdr:rowOff>110379</xdr:rowOff>
    </xdr:from>
    <xdr:to>
      <xdr:col>8</xdr:col>
      <xdr:colOff>638734</xdr:colOff>
      <xdr:row>70</xdr:row>
      <xdr:rowOff>110379</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161925</xdr:colOff>
      <xdr:row>6</xdr:row>
      <xdr:rowOff>142875</xdr:rowOff>
    </xdr:from>
    <xdr:to>
      <xdr:col>8</xdr:col>
      <xdr:colOff>590550</xdr:colOff>
      <xdr:row>26</xdr:row>
      <xdr:rowOff>142875</xdr:rowOff>
    </xdr:to>
    <xdr:graphicFrame macro="">
      <xdr:nvGraphicFramePr>
        <xdr:cNvPr id="5" name="Chart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6" name="Chart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142876</xdr:colOff>
      <xdr:row>28</xdr:row>
      <xdr:rowOff>73959</xdr:rowOff>
    </xdr:from>
    <xdr:to>
      <xdr:col>8</xdr:col>
      <xdr:colOff>609600</xdr:colOff>
      <xdr:row>48</xdr:row>
      <xdr:rowOff>73960</xdr:rowOff>
    </xdr:to>
    <xdr:graphicFrame macro="">
      <xdr:nvGraphicFramePr>
        <xdr:cNvPr id="7" name="Chart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0</xdr:colOff>
      <xdr:row>119</xdr:row>
      <xdr:rowOff>0</xdr:rowOff>
    </xdr:from>
    <xdr:to>
      <xdr:col>16</xdr:col>
      <xdr:colOff>600075</xdr:colOff>
      <xdr:row>119</xdr:row>
      <xdr:rowOff>0</xdr:rowOff>
    </xdr:to>
    <xdr:graphicFrame macro="">
      <xdr:nvGraphicFramePr>
        <xdr:cNvPr id="8" name="Chart 8">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119</xdr:row>
      <xdr:rowOff>0</xdr:rowOff>
    </xdr:from>
    <xdr:to>
      <xdr:col>9</xdr:col>
      <xdr:colOff>0</xdr:colOff>
      <xdr:row>139</xdr:row>
      <xdr:rowOff>0</xdr:rowOff>
    </xdr:to>
    <xdr:graphicFrame macro="">
      <xdr:nvGraphicFramePr>
        <xdr:cNvPr id="9" name="Chart 9">
          <a:extLst>
            <a:ext uri="{FF2B5EF4-FFF2-40B4-BE49-F238E27FC236}">
              <a16:creationId xmlns:a16="http://schemas.microsoft.com/office/drawing/2014/main" id="{00000000-0008-0000-0F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22410</xdr:colOff>
      <xdr:row>141</xdr:row>
      <xdr:rowOff>33618</xdr:rowOff>
    </xdr:from>
    <xdr:to>
      <xdr:col>8</xdr:col>
      <xdr:colOff>622485</xdr:colOff>
      <xdr:row>161</xdr:row>
      <xdr:rowOff>29136</xdr:rowOff>
    </xdr:to>
    <xdr:graphicFrame macro="">
      <xdr:nvGraphicFramePr>
        <xdr:cNvPr id="10" name="Chart 1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156883</xdr:colOff>
      <xdr:row>141</xdr:row>
      <xdr:rowOff>22413</xdr:rowOff>
    </xdr:from>
    <xdr:to>
      <xdr:col>16</xdr:col>
      <xdr:colOff>568139</xdr:colOff>
      <xdr:row>161</xdr:row>
      <xdr:rowOff>31938</xdr:rowOff>
    </xdr:to>
    <xdr:graphicFrame macro="">
      <xdr:nvGraphicFramePr>
        <xdr:cNvPr id="11" name="Chart 11">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11206</xdr:colOff>
      <xdr:row>162</xdr:row>
      <xdr:rowOff>67234</xdr:rowOff>
    </xdr:from>
    <xdr:to>
      <xdr:col>8</xdr:col>
      <xdr:colOff>611281</xdr:colOff>
      <xdr:row>182</xdr:row>
      <xdr:rowOff>53227</xdr:rowOff>
    </xdr:to>
    <xdr:graphicFrame macro="">
      <xdr:nvGraphicFramePr>
        <xdr:cNvPr id="12" name="Chart 12">
          <a:extLst>
            <a:ext uri="{FF2B5EF4-FFF2-40B4-BE49-F238E27FC236}">
              <a16:creationId xmlns:a16="http://schemas.microsoft.com/office/drawing/2014/main" id="{00000000-0008-0000-0F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95</xdr:row>
      <xdr:rowOff>0</xdr:rowOff>
    </xdr:from>
    <xdr:to>
      <xdr:col>9</xdr:col>
      <xdr:colOff>0</xdr:colOff>
      <xdr:row>95</xdr:row>
      <xdr:rowOff>0</xdr:rowOff>
    </xdr:to>
    <xdr:graphicFrame macro="">
      <xdr:nvGraphicFramePr>
        <xdr:cNvPr id="13" name="Chart 13">
          <a:extLst>
            <a:ext uri="{FF2B5EF4-FFF2-40B4-BE49-F238E27FC236}">
              <a16:creationId xmlns:a16="http://schemas.microsoft.com/office/drawing/2014/main" id="{00000000-0008-0000-0F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4" name="Chart 15">
          <a:extLst>
            <a:ext uri="{FF2B5EF4-FFF2-40B4-BE49-F238E27FC236}">
              <a16:creationId xmlns:a16="http://schemas.microsoft.com/office/drawing/2014/main" id="{00000000-0008-0000-0F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171450</xdr:colOff>
      <xdr:row>119</xdr:row>
      <xdr:rowOff>0</xdr:rowOff>
    </xdr:from>
    <xdr:to>
      <xdr:col>8</xdr:col>
      <xdr:colOff>600075</xdr:colOff>
      <xdr:row>119</xdr:row>
      <xdr:rowOff>0</xdr:rowOff>
    </xdr:to>
    <xdr:graphicFrame macro="">
      <xdr:nvGraphicFramePr>
        <xdr:cNvPr id="15" name="Chart 16">
          <a:extLst>
            <a:ext uri="{FF2B5EF4-FFF2-40B4-BE49-F238E27FC236}">
              <a16:creationId xmlns:a16="http://schemas.microsoft.com/office/drawing/2014/main" id="{00000000-0008-0000-0F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6" name="Chart 17">
          <a:extLst>
            <a:ext uri="{FF2B5EF4-FFF2-40B4-BE49-F238E27FC236}">
              <a16:creationId xmlns:a16="http://schemas.microsoft.com/office/drawing/2014/main" id="{00000000-0008-0000-0F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171450</xdr:colOff>
      <xdr:row>119</xdr:row>
      <xdr:rowOff>0</xdr:rowOff>
    </xdr:from>
    <xdr:to>
      <xdr:col>9</xdr:col>
      <xdr:colOff>0</xdr:colOff>
      <xdr:row>119</xdr:row>
      <xdr:rowOff>0</xdr:rowOff>
    </xdr:to>
    <xdr:graphicFrame macro="">
      <xdr:nvGraphicFramePr>
        <xdr:cNvPr id="17" name="Chart 18">
          <a:extLst>
            <a:ext uri="{FF2B5EF4-FFF2-40B4-BE49-F238E27FC236}">
              <a16:creationId xmlns:a16="http://schemas.microsoft.com/office/drawing/2014/main" id="{00000000-0008-0000-0F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9525</xdr:colOff>
      <xdr:row>119</xdr:row>
      <xdr:rowOff>0</xdr:rowOff>
    </xdr:from>
    <xdr:to>
      <xdr:col>17</xdr:col>
      <xdr:colOff>9525</xdr:colOff>
      <xdr:row>119</xdr:row>
      <xdr:rowOff>0</xdr:rowOff>
    </xdr:to>
    <xdr:graphicFrame macro="">
      <xdr:nvGraphicFramePr>
        <xdr:cNvPr id="18" name="Chart 19">
          <a:extLst>
            <a:ext uri="{FF2B5EF4-FFF2-40B4-BE49-F238E27FC236}">
              <a16:creationId xmlns:a16="http://schemas.microsoft.com/office/drawing/2014/main" id="{00000000-0008-0000-0F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9525</xdr:colOff>
      <xdr:row>97</xdr:row>
      <xdr:rowOff>9525</xdr:rowOff>
    </xdr:from>
    <xdr:to>
      <xdr:col>17</xdr:col>
      <xdr:colOff>9525</xdr:colOff>
      <xdr:row>116</xdr:row>
      <xdr:rowOff>152400</xdr:rowOff>
    </xdr:to>
    <xdr:graphicFrame macro="">
      <xdr:nvGraphicFramePr>
        <xdr:cNvPr id="19" name="Chart 20">
          <a:extLst>
            <a:ext uri="{FF2B5EF4-FFF2-40B4-BE49-F238E27FC236}">
              <a16:creationId xmlns:a16="http://schemas.microsoft.com/office/drawing/2014/main" id="{00000000-0008-0000-0F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118782</xdr:colOff>
      <xdr:row>50</xdr:row>
      <xdr:rowOff>104775</xdr:rowOff>
    </xdr:from>
    <xdr:to>
      <xdr:col>16</xdr:col>
      <xdr:colOff>585508</xdr:colOff>
      <xdr:row>70</xdr:row>
      <xdr:rowOff>104775</xdr:rowOff>
    </xdr:to>
    <xdr:graphicFrame macro="">
      <xdr:nvGraphicFramePr>
        <xdr:cNvPr id="20" name="Chart 21">
          <a:extLst>
            <a:ext uri="{FF2B5EF4-FFF2-40B4-BE49-F238E27FC236}">
              <a16:creationId xmlns:a16="http://schemas.microsoft.com/office/drawing/2014/main" id="{00000000-0008-0000-0F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9525</xdr:colOff>
      <xdr:row>95</xdr:row>
      <xdr:rowOff>0</xdr:rowOff>
    </xdr:from>
    <xdr:to>
      <xdr:col>17</xdr:col>
      <xdr:colOff>9525</xdr:colOff>
      <xdr:row>95</xdr:row>
      <xdr:rowOff>0</xdr:rowOff>
    </xdr:to>
    <xdr:graphicFrame macro="">
      <xdr:nvGraphicFramePr>
        <xdr:cNvPr id="22" name="Chart 23">
          <a:extLst>
            <a:ext uri="{FF2B5EF4-FFF2-40B4-BE49-F238E27FC236}">
              <a16:creationId xmlns:a16="http://schemas.microsoft.com/office/drawing/2014/main" id="{00000000-0008-0000-0F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152400</xdr:colOff>
      <xdr:row>119</xdr:row>
      <xdr:rowOff>0</xdr:rowOff>
    </xdr:from>
    <xdr:to>
      <xdr:col>8</xdr:col>
      <xdr:colOff>581025</xdr:colOff>
      <xdr:row>119</xdr:row>
      <xdr:rowOff>0</xdr:rowOff>
    </xdr:to>
    <xdr:graphicFrame macro="">
      <xdr:nvGraphicFramePr>
        <xdr:cNvPr id="23" name="Chart 24">
          <a:extLst>
            <a:ext uri="{FF2B5EF4-FFF2-40B4-BE49-F238E27FC236}">
              <a16:creationId xmlns:a16="http://schemas.microsoft.com/office/drawing/2014/main" id="{00000000-0008-0000-0F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9525</xdr:colOff>
      <xdr:row>72</xdr:row>
      <xdr:rowOff>133350</xdr:rowOff>
    </xdr:from>
    <xdr:to>
      <xdr:col>9</xdr:col>
      <xdr:colOff>9525</xdr:colOff>
      <xdr:row>92</xdr:row>
      <xdr:rowOff>114300</xdr:rowOff>
    </xdr:to>
    <xdr:graphicFrame macro="">
      <xdr:nvGraphicFramePr>
        <xdr:cNvPr id="24" name="Chart 25">
          <a:extLst>
            <a:ext uri="{FF2B5EF4-FFF2-40B4-BE49-F238E27FC236}">
              <a16:creationId xmlns:a16="http://schemas.microsoft.com/office/drawing/2014/main" id="{00000000-0008-0000-0F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0</xdr:colOff>
      <xdr:row>72</xdr:row>
      <xdr:rowOff>123825</xdr:rowOff>
    </xdr:from>
    <xdr:to>
      <xdr:col>16</xdr:col>
      <xdr:colOff>571500</xdr:colOff>
      <xdr:row>92</xdr:row>
      <xdr:rowOff>85725</xdr:rowOff>
    </xdr:to>
    <xdr:graphicFrame macro="">
      <xdr:nvGraphicFramePr>
        <xdr:cNvPr id="25" name="Chart 26">
          <a:extLst>
            <a:ext uri="{FF2B5EF4-FFF2-40B4-BE49-F238E27FC236}">
              <a16:creationId xmlns:a16="http://schemas.microsoft.com/office/drawing/2014/main" id="{00000000-0008-0000-0F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19050</xdr:colOff>
      <xdr:row>97</xdr:row>
      <xdr:rowOff>19050</xdr:rowOff>
    </xdr:from>
    <xdr:to>
      <xdr:col>9</xdr:col>
      <xdr:colOff>9525</xdr:colOff>
      <xdr:row>116</xdr:row>
      <xdr:rowOff>152400</xdr:rowOff>
    </xdr:to>
    <xdr:graphicFrame macro="">
      <xdr:nvGraphicFramePr>
        <xdr:cNvPr id="26" name="Chart 27">
          <a:extLst>
            <a:ext uri="{FF2B5EF4-FFF2-40B4-BE49-F238E27FC236}">
              <a16:creationId xmlns:a16="http://schemas.microsoft.com/office/drawing/2014/main" id="{00000000-0008-0000-0F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14</xdr:col>
      <xdr:colOff>485775</xdr:colOff>
      <xdr:row>119</xdr:row>
      <xdr:rowOff>0</xdr:rowOff>
    </xdr:from>
    <xdr:to>
      <xdr:col>17</xdr:col>
      <xdr:colOff>161925</xdr:colOff>
      <xdr:row>119</xdr:row>
      <xdr:rowOff>0</xdr:rowOff>
    </xdr:to>
    <xdr:pic>
      <xdr:nvPicPr>
        <xdr:cNvPr id="28" name="Picture 31" descr="vosabblogo">
          <a:extLst>
            <a:ext uri="{FF2B5EF4-FFF2-40B4-BE49-F238E27FC236}">
              <a16:creationId xmlns:a16="http://schemas.microsoft.com/office/drawing/2014/main" id="{00000000-0008-0000-0F00-00001C000000}"/>
            </a:ext>
          </a:extLst>
        </xdr:cNvPr>
        <xdr:cNvPicPr>
          <a:picLocks noChangeAspect="1" noChangeArrowheads="1"/>
        </xdr:cNvPicPr>
      </xdr:nvPicPr>
      <xdr:blipFill>
        <a:blip xmlns:r="http://schemas.openxmlformats.org/officeDocument/2006/relationships" r:embed="rId25"/>
        <a:srcRect/>
        <a:stretch>
          <a:fillRect/>
        </a:stretch>
      </xdr:blipFill>
      <xdr:spPr bwMode="auto">
        <a:xfrm>
          <a:off x="8220075" y="19450050"/>
          <a:ext cx="1619250" cy="0"/>
        </a:xfrm>
        <a:prstGeom prst="rect">
          <a:avLst/>
        </a:prstGeom>
        <a:noFill/>
        <a:ln w="9525">
          <a:noFill/>
          <a:miter lim="800000"/>
          <a:headEnd/>
          <a:tailEnd/>
        </a:ln>
      </xdr:spPr>
    </xdr:pic>
    <xdr:clientData/>
  </xdr:twoCellAnchor>
  <xdr:twoCellAnchor editAs="oneCell">
    <xdr:from>
      <xdr:col>14</xdr:col>
      <xdr:colOff>392206</xdr:colOff>
      <xdr:row>1</xdr:row>
      <xdr:rowOff>89647</xdr:rowOff>
    </xdr:from>
    <xdr:to>
      <xdr:col>17</xdr:col>
      <xdr:colOff>13812</xdr:colOff>
      <xdr:row>5</xdr:row>
      <xdr:rowOff>57616</xdr:rowOff>
    </xdr:to>
    <xdr:pic>
      <xdr:nvPicPr>
        <xdr:cNvPr id="31" name="Afbeelding 30">
          <a:extLst>
            <a:ext uri="{FF2B5EF4-FFF2-40B4-BE49-F238E27FC236}">
              <a16:creationId xmlns:a16="http://schemas.microsoft.com/office/drawing/2014/main" id="{00000000-0008-0000-0F00-00001F000000}"/>
            </a:ext>
          </a:extLst>
        </xdr:cNvPr>
        <xdr:cNvPicPr>
          <a:picLocks noChangeAspect="1"/>
        </xdr:cNvPicPr>
      </xdr:nvPicPr>
      <xdr:blipFill>
        <a:blip xmlns:r="http://schemas.openxmlformats.org/officeDocument/2006/relationships" r:embed="rId26"/>
        <a:stretch>
          <a:fillRect/>
        </a:stretch>
      </xdr:blipFill>
      <xdr:spPr>
        <a:xfrm>
          <a:off x="8146677" y="246529"/>
          <a:ext cx="1571429" cy="752381"/>
        </a:xfrm>
        <a:prstGeom prst="rect">
          <a:avLst/>
        </a:prstGeom>
      </xdr:spPr>
    </xdr:pic>
    <xdr:clientData/>
  </xdr:twoCellAnchor>
  <xdr:twoCellAnchor>
    <xdr:from>
      <xdr:col>9</xdr:col>
      <xdr:colOff>123265</xdr:colOff>
      <xdr:row>28</xdr:row>
      <xdr:rowOff>100852</xdr:rowOff>
    </xdr:from>
    <xdr:to>
      <xdr:col>16</xdr:col>
      <xdr:colOff>526677</xdr:colOff>
      <xdr:row>48</xdr:row>
      <xdr:rowOff>96371</xdr:rowOff>
    </xdr:to>
    <xdr:graphicFrame macro="">
      <xdr:nvGraphicFramePr>
        <xdr:cNvPr id="32" name="Chart 26">
          <a:extLst>
            <a:ext uri="{FF2B5EF4-FFF2-40B4-BE49-F238E27FC236}">
              <a16:creationId xmlns:a16="http://schemas.microsoft.com/office/drawing/2014/main" id="{00000000-0008-0000-0F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9</xdr:col>
      <xdr:colOff>168088</xdr:colOff>
      <xdr:row>119</xdr:row>
      <xdr:rowOff>1</xdr:rowOff>
    </xdr:from>
    <xdr:to>
      <xdr:col>16</xdr:col>
      <xdr:colOff>638735</xdr:colOff>
      <xdr:row>139</xdr:row>
      <xdr:rowOff>1</xdr:rowOff>
    </xdr:to>
    <xdr:graphicFrame macro="">
      <xdr:nvGraphicFramePr>
        <xdr:cNvPr id="34" name="Chart 9">
          <a:extLst>
            <a:ext uri="{FF2B5EF4-FFF2-40B4-BE49-F238E27FC236}">
              <a16:creationId xmlns:a16="http://schemas.microsoft.com/office/drawing/2014/main" id="{00000000-0008-0000-0F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11</xdr:col>
      <xdr:colOff>56731</xdr:colOff>
      <xdr:row>50</xdr:row>
      <xdr:rowOff>8174</xdr:rowOff>
    </xdr:from>
    <xdr:to>
      <xdr:col>13</xdr:col>
      <xdr:colOff>574616</xdr:colOff>
      <xdr:row>57</xdr:row>
      <xdr:rowOff>93145</xdr:rowOff>
    </xdr:to>
    <xdr:pic>
      <xdr:nvPicPr>
        <xdr:cNvPr id="3" name="Afbeelding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10427075" y="7056674"/>
          <a:ext cx="2518135" cy="12517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41</xdr:col>
      <xdr:colOff>437030</xdr:colOff>
      <xdr:row>3</xdr:row>
      <xdr:rowOff>11206</xdr:rowOff>
    </xdr:from>
    <xdr:to>
      <xdr:col>43</xdr:col>
      <xdr:colOff>374081</xdr:colOff>
      <xdr:row>7</xdr:row>
      <xdr:rowOff>57616</xdr:rowOff>
    </xdr:to>
    <xdr:pic>
      <xdr:nvPicPr>
        <xdr:cNvPr id="2" name="Afbeelding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38122412" y="481853"/>
          <a:ext cx="1640345" cy="75238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32</xdr:col>
      <xdr:colOff>112059</xdr:colOff>
      <xdr:row>2</xdr:row>
      <xdr:rowOff>145676</xdr:rowOff>
    </xdr:from>
    <xdr:to>
      <xdr:col>33</xdr:col>
      <xdr:colOff>831841</xdr:colOff>
      <xdr:row>7</xdr:row>
      <xdr:rowOff>35204</xdr:rowOff>
    </xdr:to>
    <xdr:pic>
      <xdr:nvPicPr>
        <xdr:cNvPr id="4" name="Afbeelding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29998147" y="459441"/>
          <a:ext cx="1571429" cy="7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245830</xdr:colOff>
      <xdr:row>2</xdr:row>
      <xdr:rowOff>79842</xdr:rowOff>
    </xdr:from>
    <xdr:to>
      <xdr:col>11</xdr:col>
      <xdr:colOff>226219</xdr:colOff>
      <xdr:row>7</xdr:row>
      <xdr:rowOff>38287</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472924" y="413217"/>
          <a:ext cx="1956826" cy="9347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829236</xdr:colOff>
      <xdr:row>2</xdr:row>
      <xdr:rowOff>44823</xdr:rowOff>
    </xdr:from>
    <xdr:to>
      <xdr:col>10</xdr:col>
      <xdr:colOff>159488</xdr:colOff>
      <xdr:row>6</xdr:row>
      <xdr:rowOff>12793</xdr:rowOff>
    </xdr:to>
    <xdr:pic>
      <xdr:nvPicPr>
        <xdr:cNvPr id="4" name="Afbeelding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stretch>
          <a:fillRect/>
        </a:stretch>
      </xdr:blipFill>
      <xdr:spPr>
        <a:xfrm>
          <a:off x="7362265" y="358588"/>
          <a:ext cx="1571429" cy="7523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556372</xdr:colOff>
      <xdr:row>45</xdr:row>
      <xdr:rowOff>48604</xdr:rowOff>
    </xdr:from>
    <xdr:to>
      <xdr:col>28</xdr:col>
      <xdr:colOff>184896</xdr:colOff>
      <xdr:row>49</xdr:row>
      <xdr:rowOff>18571</xdr:rowOff>
    </xdr:to>
    <xdr:pic>
      <xdr:nvPicPr>
        <xdr:cNvPr id="3" name="Afbeelding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5701122" y="7692417"/>
          <a:ext cx="1413138" cy="708154"/>
        </a:xfrm>
        <a:prstGeom prst="rect">
          <a:avLst/>
        </a:prstGeom>
      </xdr:spPr>
    </xdr:pic>
    <xdr:clientData/>
  </xdr:twoCellAnchor>
  <xdr:twoCellAnchor editAs="oneCell">
    <xdr:from>
      <xdr:col>17</xdr:col>
      <xdr:colOff>403610</xdr:colOff>
      <xdr:row>3</xdr:row>
      <xdr:rowOff>1613</xdr:rowOff>
    </xdr:from>
    <xdr:to>
      <xdr:col>19</xdr:col>
      <xdr:colOff>1</xdr:colOff>
      <xdr:row>5</xdr:row>
      <xdr:rowOff>237191</xdr:rowOff>
    </xdr:to>
    <xdr:pic>
      <xdr:nvPicPr>
        <xdr:cNvPr id="5" name="Afbeelding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9738110" y="472260"/>
          <a:ext cx="1310887" cy="6259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425823</xdr:colOff>
      <xdr:row>2</xdr:row>
      <xdr:rowOff>67236</xdr:rowOff>
    </xdr:from>
    <xdr:to>
      <xdr:col>12</xdr:col>
      <xdr:colOff>25017</xdr:colOff>
      <xdr:row>6</xdr:row>
      <xdr:rowOff>35206</xdr:rowOff>
    </xdr:to>
    <xdr:pic>
      <xdr:nvPicPr>
        <xdr:cNvPr id="4" name="Afbeelding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9827558" y="381001"/>
          <a:ext cx="1571429" cy="7523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403411</xdr:colOff>
      <xdr:row>2</xdr:row>
      <xdr:rowOff>22412</xdr:rowOff>
    </xdr:from>
    <xdr:to>
      <xdr:col>13</xdr:col>
      <xdr:colOff>1</xdr:colOff>
      <xdr:row>5</xdr:row>
      <xdr:rowOff>147264</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9491382" y="336177"/>
          <a:ext cx="1571429" cy="7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280146</xdr:colOff>
      <xdr:row>2</xdr:row>
      <xdr:rowOff>67235</xdr:rowOff>
    </xdr:from>
    <xdr:to>
      <xdr:col>10</xdr:col>
      <xdr:colOff>865457</xdr:colOff>
      <xdr:row>6</xdr:row>
      <xdr:rowOff>35205</xdr:rowOff>
    </xdr:to>
    <xdr:pic>
      <xdr:nvPicPr>
        <xdr:cNvPr id="4" name="Afbeelding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810499" y="381000"/>
          <a:ext cx="1571429" cy="7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1</xdr:colOff>
      <xdr:row>2</xdr:row>
      <xdr:rowOff>89646</xdr:rowOff>
    </xdr:from>
    <xdr:to>
      <xdr:col>20</xdr:col>
      <xdr:colOff>719783</xdr:colOff>
      <xdr:row>38</xdr:row>
      <xdr:rowOff>45710</xdr:rowOff>
    </xdr:to>
    <xdr:pic>
      <xdr:nvPicPr>
        <xdr:cNvPr id="4" name="Afbeelding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1844619" y="403411"/>
          <a:ext cx="1571429" cy="7523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168089</xdr:colOff>
      <xdr:row>2</xdr:row>
      <xdr:rowOff>11206</xdr:rowOff>
    </xdr:from>
    <xdr:to>
      <xdr:col>14</xdr:col>
      <xdr:colOff>36224</xdr:colOff>
      <xdr:row>5</xdr:row>
      <xdr:rowOff>136058</xdr:rowOff>
    </xdr:to>
    <xdr:pic>
      <xdr:nvPicPr>
        <xdr:cNvPr id="4" name="Afbeelding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8953501" y="324971"/>
          <a:ext cx="1571429" cy="7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78442</xdr:colOff>
      <xdr:row>2</xdr:row>
      <xdr:rowOff>22411</xdr:rowOff>
    </xdr:from>
    <xdr:to>
      <xdr:col>11</xdr:col>
      <xdr:colOff>663753</xdr:colOff>
      <xdr:row>5</xdr:row>
      <xdr:rowOff>147263</xdr:rowOff>
    </xdr:to>
    <xdr:pic>
      <xdr:nvPicPr>
        <xdr:cNvPr id="4" name="Afbeelding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7507942" y="336176"/>
          <a:ext cx="1571429" cy="752381"/>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uo.nl/open_onderwijsdata/databestanden/vo/leerlingen/leerlingen-vo-11.jsp" TargetMode="External"/><Relationship Id="rId2" Type="http://schemas.openxmlformats.org/officeDocument/2006/relationships/hyperlink" Target="http://www.voion.nl/instrumenten/scenariomodel-vo" TargetMode="External"/><Relationship Id="rId1" Type="http://schemas.openxmlformats.org/officeDocument/2006/relationships/hyperlink" Target="mailto:be.keizer@wxs.n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voraad.nl/"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voraad.n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voraad.nl/"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voraad.nl/" TargetMode="External"/><Relationship Id="rId1" Type="http://schemas.openxmlformats.org/officeDocument/2006/relationships/hyperlink" Target="http://www.voraad.nl/"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http://www.voraad.nl/"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voraad.n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voraad.n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353"/>
  <sheetViews>
    <sheetView showGridLines="0" zoomScaleNormal="100" zoomScaleSheetLayoutView="100" workbookViewId="0">
      <selection activeCell="L3" sqref="L3"/>
    </sheetView>
  </sheetViews>
  <sheetFormatPr defaultRowHeight="12.75" x14ac:dyDescent="0.2"/>
  <cols>
    <col min="1" max="1" width="3.7109375" style="96" customWidth="1"/>
    <col min="2" max="2" width="2.7109375" style="96" customWidth="1"/>
    <col min="3" max="9" width="9.140625" style="96"/>
    <col min="10" max="10" width="10.140625" style="96" customWidth="1"/>
    <col min="11" max="11" width="9.140625" style="96"/>
    <col min="12" max="12" width="19.7109375" style="96" bestFit="1" customWidth="1"/>
    <col min="13" max="13" width="12.85546875" style="96" customWidth="1"/>
    <col min="14" max="16384" width="9.140625" style="96"/>
  </cols>
  <sheetData>
    <row r="2" spans="3:18" x14ac:dyDescent="0.2">
      <c r="R2"/>
    </row>
    <row r="3" spans="3:18" ht="15.75" x14ac:dyDescent="0.25">
      <c r="C3" s="1" t="s">
        <v>928</v>
      </c>
      <c r="K3" s="1" t="s">
        <v>136</v>
      </c>
      <c r="L3" s="1508">
        <v>44421</v>
      </c>
      <c r="R3"/>
    </row>
    <row r="4" spans="3:18" x14ac:dyDescent="0.2">
      <c r="C4" s="2"/>
      <c r="K4" s="2"/>
      <c r="R4"/>
    </row>
    <row r="5" spans="3:18" x14ac:dyDescent="0.2">
      <c r="C5" s="2" t="s">
        <v>955</v>
      </c>
      <c r="K5" s="2"/>
      <c r="N5" s="1544"/>
      <c r="R5"/>
    </row>
    <row r="6" spans="3:18" x14ac:dyDescent="0.2">
      <c r="C6" s="96" t="s">
        <v>956</v>
      </c>
      <c r="K6" s="2"/>
      <c r="R6"/>
    </row>
    <row r="7" spans="3:18" x14ac:dyDescent="0.2">
      <c r="C7" s="96" t="s">
        <v>957</v>
      </c>
      <c r="K7" s="2"/>
      <c r="R7"/>
    </row>
    <row r="8" spans="3:18" x14ac:dyDescent="0.2">
      <c r="K8" s="2"/>
      <c r="R8"/>
    </row>
    <row r="9" spans="3:18" hidden="1" x14ac:dyDescent="0.2">
      <c r="K9" s="2"/>
      <c r="R9"/>
    </row>
    <row r="10" spans="3:18" hidden="1" x14ac:dyDescent="0.2">
      <c r="K10" s="2"/>
      <c r="R10"/>
    </row>
    <row r="11" spans="3:18" hidden="1" x14ac:dyDescent="0.2">
      <c r="K11" s="2"/>
      <c r="R11"/>
    </row>
    <row r="12" spans="3:18" hidden="1" x14ac:dyDescent="0.2">
      <c r="K12" s="2"/>
      <c r="R12"/>
    </row>
    <row r="13" spans="3:18" hidden="1" x14ac:dyDescent="0.2">
      <c r="K13" s="2"/>
      <c r="R13"/>
    </row>
    <row r="14" spans="3:18" hidden="1" x14ac:dyDescent="0.2">
      <c r="K14" s="2"/>
      <c r="R14"/>
    </row>
    <row r="15" spans="3:18" hidden="1" x14ac:dyDescent="0.2">
      <c r="K15" s="2"/>
      <c r="R15"/>
    </row>
    <row r="16" spans="3:18" hidden="1" x14ac:dyDescent="0.2">
      <c r="K16" s="2"/>
      <c r="R16"/>
    </row>
    <row r="17" spans="1:18" hidden="1" x14ac:dyDescent="0.2">
      <c r="K17" s="2"/>
      <c r="R17"/>
    </row>
    <row r="18" spans="1:18" hidden="1" x14ac:dyDescent="0.2">
      <c r="K18" s="2"/>
      <c r="R18"/>
    </row>
    <row r="19" spans="1:18" hidden="1" x14ac:dyDescent="0.2">
      <c r="K19" s="2"/>
      <c r="R19"/>
    </row>
    <row r="20" spans="1:18" hidden="1" x14ac:dyDescent="0.2">
      <c r="C20" s="2"/>
      <c r="K20" s="2"/>
      <c r="R20"/>
    </row>
    <row r="21" spans="1:18" hidden="1" x14ac:dyDescent="0.2">
      <c r="K21" s="2"/>
      <c r="R21"/>
    </row>
    <row r="22" spans="1:18" hidden="1" x14ac:dyDescent="0.2">
      <c r="K22" s="2"/>
      <c r="R22"/>
    </row>
    <row r="23" spans="1:18" hidden="1" x14ac:dyDescent="0.2">
      <c r="K23" s="2"/>
      <c r="R23"/>
    </row>
    <row r="24" spans="1:18" x14ac:dyDescent="0.2">
      <c r="C24" s="2" t="s">
        <v>72</v>
      </c>
      <c r="K24" s="2"/>
      <c r="R24"/>
    </row>
    <row r="25" spans="1:18" x14ac:dyDescent="0.2">
      <c r="C25" s="98" t="s">
        <v>941</v>
      </c>
      <c r="K25" s="2"/>
      <c r="R25"/>
    </row>
    <row r="26" spans="1:18" x14ac:dyDescent="0.2">
      <c r="A26" s="1526"/>
      <c r="C26" s="1344" t="s">
        <v>958</v>
      </c>
      <c r="K26" s="2"/>
      <c r="R26"/>
    </row>
    <row r="27" spans="1:18" x14ac:dyDescent="0.2">
      <c r="C27" s="2" t="s">
        <v>783</v>
      </c>
      <c r="K27" s="2"/>
      <c r="R27"/>
    </row>
    <row r="28" spans="1:18" x14ac:dyDescent="0.2">
      <c r="C28" s="1344" t="s">
        <v>939</v>
      </c>
      <c r="K28" s="2"/>
      <c r="R28"/>
    </row>
    <row r="29" spans="1:18" x14ac:dyDescent="0.2">
      <c r="C29" s="1344" t="s">
        <v>959</v>
      </c>
      <c r="K29" s="2"/>
      <c r="R29"/>
    </row>
    <row r="30" spans="1:18" x14ac:dyDescent="0.2">
      <c r="C30" s="2"/>
      <c r="K30" s="2"/>
      <c r="R30"/>
    </row>
    <row r="31" spans="1:18" x14ac:dyDescent="0.2">
      <c r="C31" s="96" t="s">
        <v>777</v>
      </c>
      <c r="K31" s="2"/>
      <c r="R31"/>
    </row>
    <row r="32" spans="1:18" x14ac:dyDescent="0.2">
      <c r="C32" s="96" t="s">
        <v>873</v>
      </c>
      <c r="K32" s="2"/>
      <c r="R32"/>
    </row>
    <row r="33" spans="3:19" x14ac:dyDescent="0.2">
      <c r="C33" s="1460" t="s">
        <v>960</v>
      </c>
      <c r="K33" s="2"/>
      <c r="R33"/>
    </row>
    <row r="34" spans="3:19" x14ac:dyDescent="0.2">
      <c r="C34" s="601" t="s">
        <v>874</v>
      </c>
      <c r="K34" s="2"/>
      <c r="R34"/>
    </row>
    <row r="35" spans="3:19" x14ac:dyDescent="0.2">
      <c r="C35" s="55"/>
      <c r="K35" s="2"/>
      <c r="R35"/>
    </row>
    <row r="36" spans="3:19" x14ac:dyDescent="0.2">
      <c r="C36" s="96" t="s">
        <v>895</v>
      </c>
      <c r="K36" s="2"/>
      <c r="R36"/>
    </row>
    <row r="37" spans="3:19" x14ac:dyDescent="0.2">
      <c r="C37" s="96" t="s">
        <v>25</v>
      </c>
      <c r="K37" s="2"/>
      <c r="R37"/>
    </row>
    <row r="38" spans="3:19" x14ac:dyDescent="0.2">
      <c r="C38" s="96" t="s">
        <v>896</v>
      </c>
      <c r="K38" s="2"/>
      <c r="R38"/>
    </row>
    <row r="39" spans="3:19" x14ac:dyDescent="0.2">
      <c r="L39" s="523"/>
      <c r="R39"/>
    </row>
    <row r="40" spans="3:19" x14ac:dyDescent="0.2">
      <c r="C40" s="96" t="s">
        <v>601</v>
      </c>
      <c r="L40" s="523"/>
      <c r="R40"/>
    </row>
    <row r="41" spans="3:19" x14ac:dyDescent="0.2">
      <c r="C41" s="96" t="s">
        <v>602</v>
      </c>
      <c r="L41" s="523"/>
      <c r="Q41" s="1034"/>
      <c r="R41" s="1035"/>
      <c r="S41" s="1034"/>
    </row>
    <row r="42" spans="3:19" x14ac:dyDescent="0.2">
      <c r="C42" s="96" t="s">
        <v>275</v>
      </c>
      <c r="L42" s="523"/>
      <c r="Q42" s="1034"/>
      <c r="R42" s="1036"/>
      <c r="S42" s="1034"/>
    </row>
    <row r="43" spans="3:19" x14ac:dyDescent="0.2">
      <c r="C43" s="96" t="s">
        <v>611</v>
      </c>
      <c r="L43" s="523"/>
      <c r="Q43" s="1034"/>
      <c r="R43" s="1037"/>
      <c r="S43" s="1034"/>
    </row>
    <row r="44" spans="3:19" x14ac:dyDescent="0.2">
      <c r="C44" s="96" t="s">
        <v>612</v>
      </c>
      <c r="L44" s="523"/>
      <c r="Q44" s="1034"/>
      <c r="R44" s="1036"/>
      <c r="S44" s="1034"/>
    </row>
    <row r="45" spans="3:19" x14ac:dyDescent="0.2">
      <c r="C45" s="96" t="s">
        <v>107</v>
      </c>
      <c r="Q45" s="1034"/>
      <c r="R45" s="1036"/>
      <c r="S45" s="1034"/>
    </row>
    <row r="46" spans="3:19" x14ac:dyDescent="0.2">
      <c r="C46" s="96" t="s">
        <v>73</v>
      </c>
      <c r="R46" s="838"/>
    </row>
    <row r="47" spans="3:19" x14ac:dyDescent="0.2">
      <c r="C47" s="96" t="s">
        <v>942</v>
      </c>
      <c r="R47" s="838"/>
    </row>
    <row r="48" spans="3:19" x14ac:dyDescent="0.2">
      <c r="C48" s="98"/>
      <c r="R48" s="838"/>
    </row>
    <row r="49" spans="3:18" x14ac:dyDescent="0.2">
      <c r="C49" s="96" t="s">
        <v>692</v>
      </c>
      <c r="R49" s="838"/>
    </row>
    <row r="50" spans="3:18" x14ac:dyDescent="0.2">
      <c r="C50" s="96" t="s">
        <v>74</v>
      </c>
      <c r="R50" s="838"/>
    </row>
    <row r="51" spans="3:18" x14ac:dyDescent="0.2">
      <c r="R51" s="838"/>
    </row>
    <row r="52" spans="3:18" x14ac:dyDescent="0.2">
      <c r="C52" s="96" t="s">
        <v>584</v>
      </c>
      <c r="R52" s="838"/>
    </row>
    <row r="53" spans="3:18" x14ac:dyDescent="0.2">
      <c r="C53" s="96" t="s">
        <v>585</v>
      </c>
      <c r="R53" s="838"/>
    </row>
    <row r="54" spans="3:18" x14ac:dyDescent="0.2">
      <c r="C54" s="96" t="s">
        <v>247</v>
      </c>
    </row>
    <row r="55" spans="3:18" x14ac:dyDescent="0.2">
      <c r="C55" s="96" t="s">
        <v>808</v>
      </c>
    </row>
    <row r="56" spans="3:18" x14ac:dyDescent="0.2">
      <c r="C56" s="96" t="s">
        <v>809</v>
      </c>
    </row>
    <row r="57" spans="3:18" x14ac:dyDescent="0.2">
      <c r="C57" s="96" t="s">
        <v>823</v>
      </c>
    </row>
    <row r="59" spans="3:18" x14ac:dyDescent="0.2">
      <c r="C59" s="2" t="s">
        <v>224</v>
      </c>
    </row>
    <row r="60" spans="3:18" x14ac:dyDescent="0.2">
      <c r="C60" s="96" t="s">
        <v>26</v>
      </c>
    </row>
    <row r="61" spans="3:18" x14ac:dyDescent="0.2">
      <c r="C61" s="96" t="s">
        <v>961</v>
      </c>
    </row>
    <row r="62" spans="3:18" x14ac:dyDescent="0.2">
      <c r="C62" s="96" t="s">
        <v>962</v>
      </c>
    </row>
    <row r="63" spans="3:18" x14ac:dyDescent="0.2">
      <c r="C63" s="96" t="s">
        <v>700</v>
      </c>
    </row>
    <row r="64" spans="3:18" x14ac:dyDescent="0.2">
      <c r="C64" s="96" t="s">
        <v>701</v>
      </c>
    </row>
    <row r="65" spans="3:9" x14ac:dyDescent="0.2">
      <c r="C65" s="96" t="s">
        <v>451</v>
      </c>
    </row>
    <row r="66" spans="3:9" x14ac:dyDescent="0.2">
      <c r="C66" s="96" t="s">
        <v>897</v>
      </c>
    </row>
    <row r="67" spans="3:9" x14ac:dyDescent="0.2">
      <c r="C67" s="96" t="s">
        <v>899</v>
      </c>
      <c r="I67" s="2"/>
    </row>
    <row r="68" spans="3:9" x14ac:dyDescent="0.2">
      <c r="C68" s="96" t="s">
        <v>900</v>
      </c>
    </row>
    <row r="69" spans="3:9" x14ac:dyDescent="0.2">
      <c r="C69" s="96" t="s">
        <v>901</v>
      </c>
    </row>
    <row r="70" spans="3:9" x14ac:dyDescent="0.2">
      <c r="C70" s="96" t="s">
        <v>902</v>
      </c>
    </row>
    <row r="71" spans="3:9" x14ac:dyDescent="0.2">
      <c r="C71" s="96" t="s">
        <v>810</v>
      </c>
    </row>
    <row r="73" spans="3:9" x14ac:dyDescent="0.2">
      <c r="C73" s="96" t="s">
        <v>903</v>
      </c>
    </row>
    <row r="74" spans="3:9" x14ac:dyDescent="0.2">
      <c r="C74" s="96" t="s">
        <v>904</v>
      </c>
    </row>
    <row r="75" spans="3:9" x14ac:dyDescent="0.2">
      <c r="C75" s="96" t="s">
        <v>905</v>
      </c>
    </row>
    <row r="77" spans="3:9" x14ac:dyDescent="0.2">
      <c r="C77" s="96" t="s">
        <v>921</v>
      </c>
    </row>
    <row r="78" spans="3:9" x14ac:dyDescent="0.2">
      <c r="C78" s="96" t="s">
        <v>452</v>
      </c>
    </row>
    <row r="79" spans="3:9" x14ac:dyDescent="0.2">
      <c r="C79" s="96" t="s">
        <v>747</v>
      </c>
    </row>
    <row r="81" spans="3:3" x14ac:dyDescent="0.2">
      <c r="C81" s="96" t="s">
        <v>27</v>
      </c>
    </row>
    <row r="82" spans="3:3" x14ac:dyDescent="0.2">
      <c r="C82" s="96" t="s">
        <v>29</v>
      </c>
    </row>
    <row r="84" spans="3:3" x14ac:dyDescent="0.2">
      <c r="C84" s="556" t="s">
        <v>811</v>
      </c>
    </row>
    <row r="85" spans="3:3" x14ac:dyDescent="0.2">
      <c r="C85" s="96" t="s">
        <v>812</v>
      </c>
    </row>
    <row r="86" spans="3:3" x14ac:dyDescent="0.2">
      <c r="C86" s="96" t="s">
        <v>813</v>
      </c>
    </row>
    <row r="87" spans="3:3" x14ac:dyDescent="0.2">
      <c r="C87" s="2" t="s">
        <v>465</v>
      </c>
    </row>
    <row r="88" spans="3:3" x14ac:dyDescent="0.2">
      <c r="C88" s="2" t="s">
        <v>454</v>
      </c>
    </row>
    <row r="89" spans="3:3" x14ac:dyDescent="0.2">
      <c r="C89" s="96" t="s">
        <v>483</v>
      </c>
    </row>
    <row r="90" spans="3:3" x14ac:dyDescent="0.2">
      <c r="C90" s="96" t="s">
        <v>898</v>
      </c>
    </row>
    <row r="91" spans="3:3" x14ac:dyDescent="0.2">
      <c r="C91" s="96" t="s">
        <v>780</v>
      </c>
    </row>
    <row r="92" spans="3:3" x14ac:dyDescent="0.2">
      <c r="C92" s="96" t="s">
        <v>875</v>
      </c>
    </row>
    <row r="93" spans="3:3" x14ac:dyDescent="0.2">
      <c r="C93" s="96" t="s">
        <v>948</v>
      </c>
    </row>
    <row r="94" spans="3:3" x14ac:dyDescent="0.2">
      <c r="C94" s="96" t="s">
        <v>940</v>
      </c>
    </row>
    <row r="95" spans="3:3" x14ac:dyDescent="0.2">
      <c r="C95" s="96" t="s">
        <v>922</v>
      </c>
    </row>
    <row r="96" spans="3:3" x14ac:dyDescent="0.2">
      <c r="C96" s="96" t="s">
        <v>949</v>
      </c>
    </row>
    <row r="98" spans="3:3" x14ac:dyDescent="0.2">
      <c r="C98" s="2" t="s">
        <v>906</v>
      </c>
    </row>
    <row r="99" spans="3:3" x14ac:dyDescent="0.2">
      <c r="C99" s="2" t="s">
        <v>924</v>
      </c>
    </row>
    <row r="100" spans="3:3" hidden="1" x14ac:dyDescent="0.2">
      <c r="C100" s="96" t="s">
        <v>814</v>
      </c>
    </row>
    <row r="101" spans="3:3" x14ac:dyDescent="0.2">
      <c r="C101" s="96" t="s">
        <v>925</v>
      </c>
    </row>
    <row r="102" spans="3:3" x14ac:dyDescent="0.2">
      <c r="C102" s="2" t="s">
        <v>815</v>
      </c>
    </row>
    <row r="103" spans="3:3" x14ac:dyDescent="0.2">
      <c r="C103" s="96" t="s">
        <v>586</v>
      </c>
    </row>
    <row r="104" spans="3:3" x14ac:dyDescent="0.2">
      <c r="C104" s="98" t="s">
        <v>778</v>
      </c>
    </row>
    <row r="105" spans="3:3" x14ac:dyDescent="0.2">
      <c r="C105" s="4" t="s">
        <v>828</v>
      </c>
    </row>
    <row r="106" spans="3:3" x14ac:dyDescent="0.2">
      <c r="C106" s="4" t="s">
        <v>779</v>
      </c>
    </row>
    <row r="108" spans="3:3" x14ac:dyDescent="0.2">
      <c r="C108" s="556" t="s">
        <v>589</v>
      </c>
    </row>
    <row r="109" spans="3:3" x14ac:dyDescent="0.2">
      <c r="C109" s="96" t="s">
        <v>590</v>
      </c>
    </row>
    <row r="110" spans="3:3" x14ac:dyDescent="0.2">
      <c r="C110" s="96" t="s">
        <v>748</v>
      </c>
    </row>
    <row r="111" spans="3:3" x14ac:dyDescent="0.2">
      <c r="C111" s="96" t="s">
        <v>749</v>
      </c>
    </row>
    <row r="112" spans="3:3" x14ac:dyDescent="0.2">
      <c r="C112" s="96" t="s">
        <v>750</v>
      </c>
    </row>
    <row r="113" spans="3:3" x14ac:dyDescent="0.2">
      <c r="C113" s="96" t="s">
        <v>816</v>
      </c>
    </row>
    <row r="114" spans="3:3" x14ac:dyDescent="0.2">
      <c r="C114" s="96" t="s">
        <v>613</v>
      </c>
    </row>
    <row r="116" spans="3:3" x14ac:dyDescent="0.2">
      <c r="C116" s="556" t="s">
        <v>817</v>
      </c>
    </row>
    <row r="117" spans="3:3" x14ac:dyDescent="0.2">
      <c r="C117" s="96" t="s">
        <v>455</v>
      </c>
    </row>
    <row r="118" spans="3:3" x14ac:dyDescent="0.2">
      <c r="C118" s="96" t="s">
        <v>466</v>
      </c>
    </row>
    <row r="119" spans="3:3" x14ac:dyDescent="0.2">
      <c r="C119" s="96" t="s">
        <v>456</v>
      </c>
    </row>
    <row r="120" spans="3:3" x14ac:dyDescent="0.2">
      <c r="C120" s="96" t="s">
        <v>457</v>
      </c>
    </row>
    <row r="122" spans="3:3" x14ac:dyDescent="0.2">
      <c r="C122" s="556" t="s">
        <v>818</v>
      </c>
    </row>
    <row r="123" spans="3:3" x14ac:dyDescent="0.2">
      <c r="C123" s="96" t="s">
        <v>599</v>
      </c>
    </row>
    <row r="124" spans="3:3" x14ac:dyDescent="0.2">
      <c r="C124" s="96" t="s">
        <v>943</v>
      </c>
    </row>
    <row r="125" spans="3:3" x14ac:dyDescent="0.2">
      <c r="C125" s="96" t="s">
        <v>876</v>
      </c>
    </row>
    <row r="126" spans="3:3" x14ac:dyDescent="0.2">
      <c r="C126" s="96" t="s">
        <v>751</v>
      </c>
    </row>
    <row r="127" spans="3:3" x14ac:dyDescent="0.2">
      <c r="C127" s="96" t="s">
        <v>600</v>
      </c>
    </row>
    <row r="129" spans="3:15" x14ac:dyDescent="0.2">
      <c r="C129" s="96" t="s">
        <v>693</v>
      </c>
    </row>
    <row r="130" spans="3:15" x14ac:dyDescent="0.2">
      <c r="C130" s="96" t="s">
        <v>926</v>
      </c>
    </row>
    <row r="131" spans="3:15" x14ac:dyDescent="0.2">
      <c r="C131" s="96" t="s">
        <v>614</v>
      </c>
    </row>
    <row r="133" spans="3:15" s="3" customFormat="1" x14ac:dyDescent="0.2">
      <c r="C133" s="556" t="s">
        <v>30</v>
      </c>
      <c r="D133" s="96"/>
      <c r="E133" s="96"/>
      <c r="F133" s="96"/>
      <c r="G133" s="96"/>
      <c r="H133" s="96"/>
      <c r="I133" s="96"/>
      <c r="J133" s="96"/>
      <c r="K133" s="96"/>
      <c r="L133" s="96"/>
      <c r="M133" s="96"/>
      <c r="N133" s="96"/>
      <c r="O133" s="96"/>
    </row>
    <row r="134" spans="3:15" x14ac:dyDescent="0.2">
      <c r="C134" s="96" t="s">
        <v>248</v>
      </c>
    </row>
    <row r="135" spans="3:15" x14ac:dyDescent="0.2">
      <c r="C135" s="96" t="s">
        <v>819</v>
      </c>
    </row>
    <row r="136" spans="3:15" x14ac:dyDescent="0.2">
      <c r="C136" s="96" t="s">
        <v>820</v>
      </c>
    </row>
    <row r="137" spans="3:15" x14ac:dyDescent="0.2">
      <c r="C137" s="96" t="s">
        <v>821</v>
      </c>
    </row>
    <row r="138" spans="3:15" x14ac:dyDescent="0.2">
      <c r="C138" s="96" t="s">
        <v>822</v>
      </c>
    </row>
    <row r="139" spans="3:15" x14ac:dyDescent="0.2">
      <c r="C139" s="96" t="s">
        <v>877</v>
      </c>
    </row>
    <row r="141" spans="3:15" x14ac:dyDescent="0.2">
      <c r="C141" s="96" t="s">
        <v>113</v>
      </c>
    </row>
    <row r="142" spans="3:15" x14ac:dyDescent="0.2">
      <c r="C142" s="96" t="s">
        <v>484</v>
      </c>
    </row>
    <row r="144" spans="3:15" x14ac:dyDescent="0.2">
      <c r="C144" s="96" t="s">
        <v>907</v>
      </c>
    </row>
    <row r="145" spans="3:15" x14ac:dyDescent="0.2">
      <c r="C145" s="96" t="s">
        <v>908</v>
      </c>
    </row>
    <row r="147" spans="3:15" x14ac:dyDescent="0.2">
      <c r="C147" s="96" t="s">
        <v>878</v>
      </c>
    </row>
    <row r="149" spans="3:15" x14ac:dyDescent="0.2">
      <c r="C149" s="556" t="s">
        <v>485</v>
      </c>
    </row>
    <row r="150" spans="3:15" x14ac:dyDescent="0.2">
      <c r="C150" s="96" t="s">
        <v>486</v>
      </c>
    </row>
    <row r="151" spans="3:15" x14ac:dyDescent="0.2">
      <c r="C151" s="96" t="s">
        <v>487</v>
      </c>
    </row>
    <row r="152" spans="3:15" x14ac:dyDescent="0.2">
      <c r="C152" s="96" t="s">
        <v>157</v>
      </c>
      <c r="D152" s="3"/>
      <c r="E152" s="3"/>
      <c r="F152" s="3"/>
      <c r="G152" s="3"/>
      <c r="H152" s="3"/>
      <c r="I152" s="3"/>
      <c r="J152" s="3"/>
      <c r="K152" s="3"/>
      <c r="L152" s="3"/>
      <c r="M152" s="3"/>
      <c r="N152" s="3"/>
      <c r="O152" s="3"/>
    </row>
    <row r="153" spans="3:15" x14ac:dyDescent="0.2">
      <c r="C153" s="5" t="s">
        <v>909</v>
      </c>
    </row>
    <row r="154" spans="3:15" x14ac:dyDescent="0.2">
      <c r="C154" s="96" t="s">
        <v>910</v>
      </c>
    </row>
    <row r="155" spans="3:15" x14ac:dyDescent="0.2">
      <c r="C155" s="96" t="s">
        <v>276</v>
      </c>
    </row>
    <row r="156" spans="3:15" x14ac:dyDescent="0.2">
      <c r="C156" s="96" t="s">
        <v>240</v>
      </c>
    </row>
    <row r="157" spans="3:15" x14ac:dyDescent="0.2">
      <c r="C157" s="96" t="s">
        <v>158</v>
      </c>
    </row>
    <row r="158" spans="3:15" x14ac:dyDescent="0.2">
      <c r="C158" s="96" t="s">
        <v>694</v>
      </c>
    </row>
    <row r="159" spans="3:15" x14ac:dyDescent="0.2">
      <c r="C159" s="96" t="s">
        <v>159</v>
      </c>
    </row>
    <row r="161" spans="3:3" x14ac:dyDescent="0.2">
      <c r="C161" s="556" t="s">
        <v>31</v>
      </c>
    </row>
    <row r="162" spans="3:3" x14ac:dyDescent="0.2">
      <c r="C162" s="96" t="s">
        <v>467</v>
      </c>
    </row>
    <row r="163" spans="3:3" x14ac:dyDescent="0.2">
      <c r="C163" s="96" t="s">
        <v>113</v>
      </c>
    </row>
    <row r="164" spans="3:3" x14ac:dyDescent="0.2">
      <c r="C164" s="96" t="s">
        <v>484</v>
      </c>
    </row>
    <row r="165" spans="3:3" x14ac:dyDescent="0.2">
      <c r="C165" s="96" t="s">
        <v>879</v>
      </c>
    </row>
    <row r="166" spans="3:3" x14ac:dyDescent="0.2">
      <c r="C166" s="96" t="s">
        <v>752</v>
      </c>
    </row>
    <row r="168" spans="3:3" x14ac:dyDescent="0.2">
      <c r="C168" s="556" t="s">
        <v>880</v>
      </c>
    </row>
    <row r="169" spans="3:3" x14ac:dyDescent="0.2">
      <c r="C169" s="96" t="s">
        <v>881</v>
      </c>
    </row>
    <row r="170" spans="3:3" x14ac:dyDescent="0.2">
      <c r="C170" s="96" t="s">
        <v>882</v>
      </c>
    </row>
    <row r="171" spans="3:3" x14ac:dyDescent="0.2">
      <c r="C171" s="96" t="s">
        <v>883</v>
      </c>
    </row>
    <row r="173" spans="3:3" x14ac:dyDescent="0.2">
      <c r="C173" s="556" t="s">
        <v>32</v>
      </c>
    </row>
    <row r="174" spans="3:3" x14ac:dyDescent="0.2">
      <c r="C174" s="96" t="s">
        <v>241</v>
      </c>
    </row>
    <row r="175" spans="3:3" x14ac:dyDescent="0.2">
      <c r="C175" s="96" t="s">
        <v>689</v>
      </c>
    </row>
    <row r="176" spans="3:3" x14ac:dyDescent="0.2">
      <c r="C176" s="96" t="s">
        <v>884</v>
      </c>
    </row>
    <row r="177" spans="3:20" x14ac:dyDescent="0.2">
      <c r="C177" s="96" t="s">
        <v>67</v>
      </c>
    </row>
    <row r="178" spans="3:20" x14ac:dyDescent="0.2">
      <c r="C178" s="96" t="s">
        <v>885</v>
      </c>
    </row>
    <row r="180" spans="3:20" x14ac:dyDescent="0.2">
      <c r="C180" s="556" t="s">
        <v>33</v>
      </c>
    </row>
    <row r="181" spans="3:20" x14ac:dyDescent="0.2">
      <c r="C181" s="96" t="s">
        <v>167</v>
      </c>
    </row>
    <row r="182" spans="3:20" ht="12.75" customHeight="1" x14ac:dyDescent="0.25">
      <c r="C182" s="96" t="s">
        <v>34</v>
      </c>
      <c r="Q182" s="657"/>
      <c r="S182" s="657"/>
    </row>
    <row r="183" spans="3:20" ht="12.75" customHeight="1" x14ac:dyDescent="0.2"/>
    <row r="184" spans="3:20" ht="12.75" customHeight="1" x14ac:dyDescent="0.2">
      <c r="C184" s="556" t="s">
        <v>35</v>
      </c>
    </row>
    <row r="185" spans="3:20" ht="12.75" customHeight="1" x14ac:dyDescent="0.25">
      <c r="C185" s="96" t="s">
        <v>886</v>
      </c>
      <c r="T185" s="657"/>
    </row>
    <row r="186" spans="3:20" ht="12.75" customHeight="1" x14ac:dyDescent="0.25">
      <c r="C186" s="96" t="s">
        <v>37</v>
      </c>
      <c r="T186" s="657"/>
    </row>
    <row r="187" spans="3:20" ht="12.75" customHeight="1" x14ac:dyDescent="0.25">
      <c r="T187" s="657"/>
    </row>
    <row r="188" spans="3:20" ht="12.75" customHeight="1" x14ac:dyDescent="0.25">
      <c r="C188" s="96" t="s">
        <v>887</v>
      </c>
      <c r="T188" s="657"/>
    </row>
    <row r="189" spans="3:20" ht="12.75" customHeight="1" x14ac:dyDescent="0.25">
      <c r="T189" s="657"/>
    </row>
    <row r="190" spans="3:20" ht="12.75" customHeight="1" x14ac:dyDescent="0.2">
      <c r="C190" s="556" t="s">
        <v>38</v>
      </c>
    </row>
    <row r="191" spans="3:20" ht="12.75" customHeight="1" x14ac:dyDescent="0.2">
      <c r="C191" s="96" t="s">
        <v>63</v>
      </c>
    </row>
    <row r="192" spans="3:20" x14ac:dyDescent="0.2">
      <c r="C192" s="96" t="s">
        <v>69</v>
      </c>
    </row>
    <row r="193" spans="3:3" x14ac:dyDescent="0.2">
      <c r="C193" s="96" t="s">
        <v>249</v>
      </c>
    </row>
    <row r="195" spans="3:3" x14ac:dyDescent="0.2">
      <c r="C195" s="96" t="s">
        <v>488</v>
      </c>
    </row>
    <row r="196" spans="3:3" x14ac:dyDescent="0.2">
      <c r="C196" s="96" t="s">
        <v>615</v>
      </c>
    </row>
    <row r="198" spans="3:3" x14ac:dyDescent="0.2">
      <c r="C198" s="556" t="s">
        <v>39</v>
      </c>
    </row>
    <row r="199" spans="3:3" x14ac:dyDescent="0.2">
      <c r="C199" s="96" t="s">
        <v>242</v>
      </c>
    </row>
    <row r="200" spans="3:3" x14ac:dyDescent="0.2">
      <c r="C200" s="96" t="s">
        <v>40</v>
      </c>
    </row>
    <row r="202" spans="3:3" x14ac:dyDescent="0.2">
      <c r="C202" s="656" t="s">
        <v>445</v>
      </c>
    </row>
    <row r="203" spans="3:3" x14ac:dyDescent="0.2">
      <c r="C203" s="96" t="s">
        <v>468</v>
      </c>
    </row>
    <row r="204" spans="3:3" x14ac:dyDescent="0.2">
      <c r="C204" s="96" t="s">
        <v>446</v>
      </c>
    </row>
    <row r="205" spans="3:3" x14ac:dyDescent="0.2">
      <c r="C205" s="96" t="s">
        <v>923</v>
      </c>
    </row>
    <row r="206" spans="3:3" x14ac:dyDescent="0.2">
      <c r="C206" s="96" t="s">
        <v>695</v>
      </c>
    </row>
    <row r="208" spans="3:3" x14ac:dyDescent="0.2">
      <c r="C208" s="656" t="s">
        <v>489</v>
      </c>
    </row>
    <row r="209" spans="3:3" x14ac:dyDescent="0.2">
      <c r="C209" s="96" t="s">
        <v>690</v>
      </c>
    </row>
    <row r="210" spans="3:3" x14ac:dyDescent="0.2">
      <c r="C210" s="96" t="s">
        <v>495</v>
      </c>
    </row>
    <row r="212" spans="3:3" x14ac:dyDescent="0.2">
      <c r="C212" s="556" t="s">
        <v>160</v>
      </c>
    </row>
    <row r="213" spans="3:3" x14ac:dyDescent="0.2">
      <c r="C213" s="97" t="s">
        <v>267</v>
      </c>
    </row>
    <row r="214" spans="3:3" x14ac:dyDescent="0.2">
      <c r="C214" s="5" t="s">
        <v>944</v>
      </c>
    </row>
    <row r="215" spans="3:3" x14ac:dyDescent="0.2">
      <c r="C215" s="5" t="s">
        <v>945</v>
      </c>
    </row>
    <row r="216" spans="3:3" x14ac:dyDescent="0.2">
      <c r="C216" s="5" t="s">
        <v>950</v>
      </c>
    </row>
    <row r="217" spans="3:3" x14ac:dyDescent="0.2">
      <c r="C217" s="5" t="s">
        <v>855</v>
      </c>
    </row>
    <row r="218" spans="3:3" x14ac:dyDescent="0.2">
      <c r="C218" s="5" t="s">
        <v>856</v>
      </c>
    </row>
    <row r="219" spans="3:3" x14ac:dyDescent="0.2">
      <c r="C219" s="1289"/>
    </row>
    <row r="220" spans="3:3" x14ac:dyDescent="0.2">
      <c r="C220" s="5" t="s">
        <v>951</v>
      </c>
    </row>
    <row r="221" spans="3:3" x14ac:dyDescent="0.2">
      <c r="C221" s="5" t="s">
        <v>952</v>
      </c>
    </row>
    <row r="222" spans="3:3" x14ac:dyDescent="0.2">
      <c r="C222" s="5" t="s">
        <v>947</v>
      </c>
    </row>
    <row r="223" spans="3:3" x14ac:dyDescent="0.2">
      <c r="C223" s="5" t="s">
        <v>946</v>
      </c>
    </row>
    <row r="224" spans="3:3" x14ac:dyDescent="0.2">
      <c r="C224" s="5" t="s">
        <v>496</v>
      </c>
    </row>
    <row r="225" spans="3:3" x14ac:dyDescent="0.2">
      <c r="C225" s="5" t="s">
        <v>469</v>
      </c>
    </row>
    <row r="227" spans="3:3" x14ac:dyDescent="0.2">
      <c r="C227" s="556" t="s">
        <v>470</v>
      </c>
    </row>
    <row r="228" spans="3:3" x14ac:dyDescent="0.2">
      <c r="C228" s="96" t="s">
        <v>913</v>
      </c>
    </row>
    <row r="229" spans="3:3" x14ac:dyDescent="0.2">
      <c r="C229" s="96" t="s">
        <v>914</v>
      </c>
    </row>
    <row r="230" spans="3:3" x14ac:dyDescent="0.2">
      <c r="C230" s="96" t="s">
        <v>593</v>
      </c>
    </row>
    <row r="231" spans="3:3" x14ac:dyDescent="0.2">
      <c r="C231" s="96" t="s">
        <v>911</v>
      </c>
    </row>
    <row r="232" spans="3:3" x14ac:dyDescent="0.2">
      <c r="C232" s="96" t="s">
        <v>912</v>
      </c>
    </row>
    <row r="233" spans="3:3" x14ac:dyDescent="0.2">
      <c r="C233" s="96" t="s">
        <v>460</v>
      </c>
    </row>
    <row r="235" spans="3:3" x14ac:dyDescent="0.2">
      <c r="C235" s="556" t="s">
        <v>471</v>
      </c>
    </row>
    <row r="236" spans="3:3" x14ac:dyDescent="0.2">
      <c r="C236" s="96" t="s">
        <v>459</v>
      </c>
    </row>
    <row r="237" spans="3:3" x14ac:dyDescent="0.2">
      <c r="C237" s="96" t="s">
        <v>14</v>
      </c>
    </row>
    <row r="238" spans="3:3" x14ac:dyDescent="0.2">
      <c r="C238" s="96" t="s">
        <v>911</v>
      </c>
    </row>
    <row r="239" spans="3:3" x14ac:dyDescent="0.2">
      <c r="C239" s="96" t="s">
        <v>915</v>
      </c>
    </row>
    <row r="240" spans="3:3" x14ac:dyDescent="0.2">
      <c r="C240" s="96" t="s">
        <v>696</v>
      </c>
    </row>
    <row r="242" spans="3:3" x14ac:dyDescent="0.2">
      <c r="C242" s="556" t="s">
        <v>36</v>
      </c>
    </row>
    <row r="243" spans="3:3" x14ac:dyDescent="0.2">
      <c r="C243" s="96" t="s">
        <v>13</v>
      </c>
    </row>
    <row r="244" spans="3:3" x14ac:dyDescent="0.2">
      <c r="C244" s="96" t="s">
        <v>12</v>
      </c>
    </row>
    <row r="245" spans="3:3" x14ac:dyDescent="0.2">
      <c r="C245" s="96" t="s">
        <v>44</v>
      </c>
    </row>
    <row r="246" spans="3:3" x14ac:dyDescent="0.2">
      <c r="C246" s="96" t="s">
        <v>64</v>
      </c>
    </row>
    <row r="247" spans="3:3" x14ac:dyDescent="0.2">
      <c r="C247" s="96" t="s">
        <v>108</v>
      </c>
    </row>
    <row r="248" spans="3:3" x14ac:dyDescent="0.2">
      <c r="C248" s="96" t="s">
        <v>497</v>
      </c>
    </row>
    <row r="249" spans="3:3" x14ac:dyDescent="0.2">
      <c r="C249" s="96" t="s">
        <v>109</v>
      </c>
    </row>
    <row r="250" spans="3:3" x14ac:dyDescent="0.2">
      <c r="C250" s="96" t="s">
        <v>110</v>
      </c>
    </row>
    <row r="251" spans="3:3" x14ac:dyDescent="0.2">
      <c r="C251" s="96" t="s">
        <v>461</v>
      </c>
    </row>
    <row r="253" spans="3:3" x14ac:dyDescent="0.2">
      <c r="C253" s="96" t="s">
        <v>111</v>
      </c>
    </row>
    <row r="254" spans="3:3" x14ac:dyDescent="0.2">
      <c r="C254" s="96" t="s">
        <v>916</v>
      </c>
    </row>
    <row r="255" spans="3:3" x14ac:dyDescent="0.2">
      <c r="C255" s="2" t="s">
        <v>917</v>
      </c>
    </row>
    <row r="256" spans="3:3" x14ac:dyDescent="0.2">
      <c r="C256" s="555" t="s">
        <v>918</v>
      </c>
    </row>
    <row r="257" spans="3:8" x14ac:dyDescent="0.2">
      <c r="C257" s="96" t="s">
        <v>919</v>
      </c>
    </row>
    <row r="258" spans="3:8" x14ac:dyDescent="0.2">
      <c r="C258" s="96" t="s">
        <v>112</v>
      </c>
    </row>
    <row r="259" spans="3:8" x14ac:dyDescent="0.2">
      <c r="C259" s="96" t="s">
        <v>888</v>
      </c>
    </row>
    <row r="260" spans="3:8" x14ac:dyDescent="0.2">
      <c r="C260" s="96" t="s">
        <v>65</v>
      </c>
    </row>
    <row r="261" spans="3:8" x14ac:dyDescent="0.2">
      <c r="C261" s="96" t="s">
        <v>66</v>
      </c>
    </row>
    <row r="263" spans="3:8" x14ac:dyDescent="0.2">
      <c r="C263" s="556" t="s">
        <v>68</v>
      </c>
    </row>
    <row r="264" spans="3:8" x14ac:dyDescent="0.2">
      <c r="C264" s="96" t="s">
        <v>75</v>
      </c>
    </row>
    <row r="266" spans="3:8" x14ac:dyDescent="0.2">
      <c r="C266" s="556" t="s">
        <v>114</v>
      </c>
    </row>
    <row r="267" spans="3:8" x14ac:dyDescent="0.2">
      <c r="C267" s="96" t="s">
        <v>115</v>
      </c>
    </row>
    <row r="268" spans="3:8" x14ac:dyDescent="0.2">
      <c r="C268" s="96" t="s">
        <v>587</v>
      </c>
    </row>
    <row r="269" spans="3:8" x14ac:dyDescent="0.2">
      <c r="C269" s="96" t="s">
        <v>277</v>
      </c>
      <c r="H269" s="4" t="s">
        <v>278</v>
      </c>
    </row>
    <row r="338" ht="11.25" customHeight="1" x14ac:dyDescent="0.2"/>
    <row r="353" ht="11.25" customHeight="1" x14ac:dyDescent="0.2"/>
  </sheetData>
  <sheetProtection algorithmName="SHA-512" hashValue="7QR0kcW1GywCf72KKwCcqQrQGLReyJ5bjh4YGBwFqMT9Avp4qhh8KfTFHH9BBxnT2/K5tEvp7RgsLUiDzj3deA==" saltValue="VtoGgQsrJOI/Wau3NlYbbQ==" spinCount="100000" sheet="1" objects="1" scenarios="1"/>
  <phoneticPr fontId="0" type="noConversion"/>
  <hyperlinks>
    <hyperlink ref="H269" r:id="rId1" xr:uid="{00000000-0004-0000-0000-000000000000}"/>
    <hyperlink ref="C106" r:id="rId2" xr:uid="{00000000-0004-0000-0000-000001000000}"/>
    <hyperlink ref="C105" r:id="rId3" xr:uid="{00000000-0004-0000-0000-000002000000}"/>
  </hyperlinks>
  <pageMargins left="0.74803149606299213" right="0.74803149606299213" top="0.98425196850393704" bottom="0.98425196850393704" header="0.51181102362204722" footer="0.51181102362204722"/>
  <pageSetup paperSize="9" scale="70" orientation="portrait" r:id="rId4"/>
  <headerFooter alignWithMargins="0">
    <oddHeader>&amp;L&amp;"Arial,Vet"&amp;9&amp;F&amp;R&amp;"Arial,Vet"&amp;9&amp;A</oddHeader>
    <oddFooter>&amp;L&amp;"Arial,Vet"&amp;9be.keizer@wxs.nl&amp;C&amp;"Arial,Vet"&amp;9pagina &amp;P&amp;R&amp;"Arial,Vet"&amp;9&amp;D</oddFooter>
  </headerFooter>
  <rowBreaks count="4" manualBreakCount="4">
    <brk id="96" min="1" max="12" man="1"/>
    <brk id="172" min="1" max="12" man="1"/>
    <brk id="241" min="1" max="12" man="1"/>
    <brk id="287" min="2" max="14" man="1"/>
  </rowBreaks>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K72"/>
  <sheetViews>
    <sheetView showGridLines="0" zoomScale="85" zoomScaleNormal="85" workbookViewId="0">
      <selection activeCell="B2" sqref="B2"/>
    </sheetView>
  </sheetViews>
  <sheetFormatPr defaultRowHeight="12.75" x14ac:dyDescent="0.2"/>
  <cols>
    <col min="1" max="1" width="3.7109375" style="109" customWidth="1"/>
    <col min="2" max="3" width="2.7109375" style="109" customWidth="1"/>
    <col min="4" max="4" width="23.85546875" style="110" customWidth="1"/>
    <col min="5" max="5" width="22.7109375" style="110" customWidth="1"/>
    <col min="6" max="9" width="10.7109375" style="112" customWidth="1"/>
    <col min="10" max="10" width="1.42578125" style="109" customWidth="1"/>
    <col min="11" max="11" width="0.42578125" style="109" customWidth="1"/>
    <col min="12" max="13" width="12.7109375" style="109" customWidth="1"/>
    <col min="14" max="14" width="12.85546875" style="109" customWidth="1"/>
    <col min="15" max="15" width="13.85546875" style="109" customWidth="1"/>
    <col min="16" max="16" width="0.85546875" style="109" customWidth="1"/>
    <col min="17" max="25" width="10.7109375" style="109" customWidth="1"/>
    <col min="26" max="26" width="0.85546875" style="109" customWidth="1"/>
    <col min="27" max="27" width="10.7109375" style="11" customWidth="1"/>
    <col min="28" max="35" width="10.7109375" style="109" customWidth="1"/>
    <col min="36" max="37" width="2.7109375" style="109" customWidth="1"/>
    <col min="38" max="16384" width="9.140625" style="109"/>
  </cols>
  <sheetData>
    <row r="2" spans="2:37" x14ac:dyDescent="0.2">
      <c r="B2" s="71"/>
      <c r="C2" s="72"/>
      <c r="D2" s="126"/>
      <c r="E2" s="126"/>
      <c r="F2" s="73"/>
      <c r="G2" s="73"/>
      <c r="H2" s="73"/>
      <c r="I2" s="73"/>
      <c r="J2" s="72"/>
      <c r="K2" s="72"/>
      <c r="L2" s="72"/>
      <c r="M2" s="72"/>
      <c r="N2" s="72"/>
      <c r="O2" s="72"/>
      <c r="P2" s="72"/>
      <c r="Q2" s="72"/>
      <c r="R2" s="72"/>
      <c r="S2" s="72"/>
      <c r="T2" s="72"/>
      <c r="U2" s="72"/>
      <c r="V2" s="72"/>
      <c r="W2" s="72"/>
      <c r="X2" s="72"/>
      <c r="Y2" s="72"/>
      <c r="Z2" s="74"/>
      <c r="AA2" s="1199"/>
      <c r="AB2" s="72"/>
      <c r="AC2" s="72"/>
      <c r="AD2" s="72"/>
      <c r="AE2" s="72"/>
      <c r="AF2" s="72"/>
      <c r="AG2" s="72"/>
      <c r="AH2" s="72"/>
      <c r="AI2" s="72"/>
      <c r="AJ2" s="72"/>
      <c r="AK2" s="74"/>
    </row>
    <row r="3" spans="2:37" x14ac:dyDescent="0.2">
      <c r="B3" s="75"/>
      <c r="C3" s="76"/>
      <c r="D3" s="120"/>
      <c r="E3" s="120"/>
      <c r="F3" s="69"/>
      <c r="G3" s="69"/>
      <c r="H3" s="69"/>
      <c r="I3" s="69"/>
      <c r="J3" s="76"/>
      <c r="K3" s="76"/>
      <c r="L3" s="76"/>
      <c r="M3" s="76"/>
      <c r="N3" s="76"/>
      <c r="O3" s="76"/>
      <c r="P3" s="76"/>
      <c r="Q3" s="76"/>
      <c r="R3" s="76"/>
      <c r="S3" s="76"/>
      <c r="T3" s="76"/>
      <c r="U3" s="76"/>
      <c r="V3" s="76"/>
      <c r="W3" s="76"/>
      <c r="X3" s="76"/>
      <c r="Y3" s="76"/>
      <c r="Z3" s="77"/>
      <c r="AA3" s="55"/>
      <c r="AB3" s="76"/>
      <c r="AC3" s="76"/>
      <c r="AD3" s="76"/>
      <c r="AE3" s="76"/>
      <c r="AF3" s="76"/>
      <c r="AG3" s="76"/>
      <c r="AH3" s="76"/>
      <c r="AI3" s="76"/>
      <c r="AJ3" s="76"/>
      <c r="AK3" s="77"/>
    </row>
    <row r="4" spans="2:37" s="166" customFormat="1" ht="18" customHeight="1" x14ac:dyDescent="0.3">
      <c r="B4" s="406"/>
      <c r="C4" s="580" t="s">
        <v>46</v>
      </c>
      <c r="D4" s="302"/>
      <c r="E4" s="302"/>
      <c r="F4" s="407"/>
      <c r="G4" s="407"/>
      <c r="H4" s="407"/>
      <c r="I4" s="407"/>
      <c r="J4" s="173"/>
      <c r="K4" s="173"/>
      <c r="L4" s="173"/>
      <c r="M4" s="173"/>
      <c r="N4" s="173"/>
      <c r="O4" s="173"/>
      <c r="P4" s="173"/>
      <c r="Q4" s="173"/>
      <c r="R4" s="173"/>
      <c r="S4" s="173"/>
      <c r="T4" s="173"/>
      <c r="U4" s="173"/>
      <c r="V4" s="173"/>
      <c r="W4" s="173"/>
      <c r="X4" s="173"/>
      <c r="Y4" s="173"/>
      <c r="Z4" s="409"/>
      <c r="AA4" s="408"/>
      <c r="AB4" s="173"/>
      <c r="AC4" s="173"/>
      <c r="AD4" s="173"/>
      <c r="AE4" s="173"/>
      <c r="AF4" s="173"/>
      <c r="AG4" s="173"/>
      <c r="AH4" s="173"/>
      <c r="AI4" s="173"/>
      <c r="AJ4" s="173"/>
      <c r="AK4" s="409"/>
    </row>
    <row r="5" spans="2:37" x14ac:dyDescent="0.2">
      <c r="B5" s="75"/>
      <c r="C5" s="55"/>
      <c r="D5" s="120"/>
      <c r="E5" s="120"/>
      <c r="F5" s="69"/>
      <c r="G5" s="69"/>
      <c r="H5" s="69"/>
      <c r="I5" s="69"/>
      <c r="J5" s="410"/>
      <c r="K5" s="76"/>
      <c r="L5" s="123"/>
      <c r="M5" s="411"/>
      <c r="N5" s="123"/>
      <c r="O5" s="76"/>
      <c r="P5" s="76"/>
      <c r="Q5" s="412"/>
      <c r="R5" s="412"/>
      <c r="S5" s="412"/>
      <c r="T5" s="412"/>
      <c r="U5" s="412"/>
      <c r="V5" s="412"/>
      <c r="W5" s="412"/>
      <c r="X5" s="412"/>
      <c r="Y5" s="412"/>
      <c r="Z5" s="77"/>
      <c r="AA5" s="412"/>
      <c r="AB5" s="412"/>
      <c r="AC5" s="412"/>
      <c r="AD5" s="412"/>
      <c r="AE5" s="76"/>
      <c r="AF5" s="76"/>
      <c r="AG5" s="76"/>
      <c r="AH5" s="76"/>
      <c r="AI5" s="76"/>
      <c r="AJ5" s="76"/>
      <c r="AK5" s="77"/>
    </row>
    <row r="6" spans="2:37" s="10" customFormat="1" ht="18" customHeight="1" x14ac:dyDescent="0.3">
      <c r="B6" s="129"/>
      <c r="C6" s="1358" t="str">
        <f>'geg ll'!C5</f>
        <v>Voorbeeld SWV VO Alkmaar</v>
      </c>
      <c r="D6" s="87"/>
      <c r="E6" s="87"/>
      <c r="F6" s="86"/>
      <c r="G6" s="86"/>
      <c r="H6" s="86"/>
      <c r="I6" s="86"/>
      <c r="J6" s="57"/>
      <c r="K6" s="57"/>
      <c r="L6" s="57"/>
      <c r="M6" s="57"/>
      <c r="N6" s="57"/>
      <c r="O6" s="57"/>
      <c r="P6" s="57"/>
      <c r="Q6" s="57"/>
      <c r="R6" s="57"/>
      <c r="S6" s="57"/>
      <c r="T6" s="57"/>
      <c r="U6" s="57"/>
      <c r="V6" s="57"/>
      <c r="W6" s="57"/>
      <c r="X6" s="57"/>
      <c r="Y6" s="57"/>
      <c r="Z6" s="88"/>
      <c r="AA6" s="413"/>
      <c r="AB6" s="57"/>
      <c r="AC6" s="57"/>
      <c r="AD6" s="57"/>
      <c r="AE6" s="57"/>
      <c r="AF6" s="57"/>
      <c r="AG6" s="57"/>
      <c r="AH6" s="57"/>
      <c r="AI6" s="57"/>
      <c r="AJ6" s="57"/>
      <c r="AK6" s="88"/>
    </row>
    <row r="7" spans="2:37" x14ac:dyDescent="0.2">
      <c r="B7" s="75"/>
      <c r="C7" s="76"/>
      <c r="D7" s="120"/>
      <c r="E7" s="120"/>
      <c r="F7" s="69"/>
      <c r="G7" s="69"/>
      <c r="H7" s="69"/>
      <c r="I7" s="69"/>
      <c r="J7" s="76"/>
      <c r="K7" s="76"/>
      <c r="L7" s="76"/>
      <c r="M7" s="411"/>
      <c r="N7" s="123"/>
      <c r="O7" s="76"/>
      <c r="P7" s="76"/>
      <c r="Q7" s="414"/>
      <c r="R7" s="414"/>
      <c r="S7" s="383"/>
      <c r="T7" s="415"/>
      <c r="U7" s="415"/>
      <c r="V7" s="415"/>
      <c r="W7" s="415"/>
      <c r="X7" s="415"/>
      <c r="Y7" s="415"/>
      <c r="Z7" s="1205"/>
      <c r="AA7" s="153"/>
      <c r="AB7" s="153"/>
      <c r="AC7" s="383"/>
      <c r="AD7" s="76"/>
      <c r="AE7" s="76"/>
      <c r="AF7" s="76"/>
      <c r="AG7" s="76"/>
      <c r="AH7" s="76"/>
      <c r="AI7" s="76"/>
      <c r="AJ7" s="76"/>
      <c r="AK7" s="77"/>
    </row>
    <row r="8" spans="2:37" s="260" customFormat="1" x14ac:dyDescent="0.2">
      <c r="B8" s="416"/>
      <c r="C8" s="93"/>
      <c r="D8" s="591" t="s">
        <v>138</v>
      </c>
      <c r="E8" s="591" t="s">
        <v>139</v>
      </c>
      <c r="F8" s="579" t="s">
        <v>140</v>
      </c>
      <c r="G8" s="579" t="s">
        <v>141</v>
      </c>
      <c r="H8" s="579" t="s">
        <v>142</v>
      </c>
      <c r="I8" s="579" t="s">
        <v>143</v>
      </c>
      <c r="J8" s="1524"/>
      <c r="K8" s="1525" t="s">
        <v>144</v>
      </c>
      <c r="L8" s="579" t="s">
        <v>145</v>
      </c>
      <c r="M8" s="579" t="s">
        <v>146</v>
      </c>
      <c r="N8" s="592" t="s">
        <v>147</v>
      </c>
      <c r="O8" s="93" t="s">
        <v>703</v>
      </c>
      <c r="P8" s="579"/>
      <c r="Q8" s="579">
        <f>O9</f>
        <v>2020</v>
      </c>
      <c r="R8" s="593">
        <f>Q8+1</f>
        <v>2021</v>
      </c>
      <c r="S8" s="593">
        <f>Q8+2</f>
        <v>2022</v>
      </c>
      <c r="T8" s="594">
        <f t="shared" ref="T8:Y8" si="0">Q8+3</f>
        <v>2023</v>
      </c>
      <c r="U8" s="594">
        <f t="shared" si="0"/>
        <v>2024</v>
      </c>
      <c r="V8" s="594">
        <f t="shared" si="0"/>
        <v>2025</v>
      </c>
      <c r="W8" s="594">
        <f t="shared" si="0"/>
        <v>2026</v>
      </c>
      <c r="X8" s="594">
        <f t="shared" si="0"/>
        <v>2027</v>
      </c>
      <c r="Y8" s="594">
        <f t="shared" si="0"/>
        <v>2028</v>
      </c>
      <c r="Z8" s="1206"/>
      <c r="AA8" s="579">
        <f t="shared" ref="AA8:AG8" si="1">Q8</f>
        <v>2020</v>
      </c>
      <c r="AB8" s="579">
        <f t="shared" si="1"/>
        <v>2021</v>
      </c>
      <c r="AC8" s="579">
        <f t="shared" si="1"/>
        <v>2022</v>
      </c>
      <c r="AD8" s="579">
        <f t="shared" si="1"/>
        <v>2023</v>
      </c>
      <c r="AE8" s="579">
        <f t="shared" si="1"/>
        <v>2024</v>
      </c>
      <c r="AF8" s="579">
        <f t="shared" si="1"/>
        <v>2025</v>
      </c>
      <c r="AG8" s="579">
        <f t="shared" si="1"/>
        <v>2026</v>
      </c>
      <c r="AH8" s="579">
        <f>X8</f>
        <v>2027</v>
      </c>
      <c r="AI8" s="579">
        <f>Y8</f>
        <v>2028</v>
      </c>
      <c r="AJ8" s="93"/>
      <c r="AK8" s="417"/>
    </row>
    <row r="9" spans="2:37" s="260" customFormat="1" x14ac:dyDescent="0.2">
      <c r="B9" s="416"/>
      <c r="C9" s="93"/>
      <c r="D9" s="591"/>
      <c r="E9" s="591"/>
      <c r="F9" s="579" t="s">
        <v>148</v>
      </c>
      <c r="G9" s="579" t="s">
        <v>149</v>
      </c>
      <c r="H9" s="579" t="s">
        <v>150</v>
      </c>
      <c r="I9" s="579" t="s">
        <v>151</v>
      </c>
      <c r="J9" s="579"/>
      <c r="K9" s="579"/>
      <c r="L9" s="579" t="s">
        <v>152</v>
      </c>
      <c r="M9" s="579" t="s">
        <v>153</v>
      </c>
      <c r="N9" s="592" t="s">
        <v>146</v>
      </c>
      <c r="O9" s="594">
        <f>tab!G4</f>
        <v>2020</v>
      </c>
      <c r="P9" s="579"/>
      <c r="Q9" s="579" t="s">
        <v>146</v>
      </c>
      <c r="R9" s="579" t="s">
        <v>146</v>
      </c>
      <c r="S9" s="579" t="s">
        <v>146</v>
      </c>
      <c r="T9" s="579" t="s">
        <v>146</v>
      </c>
      <c r="U9" s="579" t="s">
        <v>146</v>
      </c>
      <c r="V9" s="579" t="s">
        <v>146</v>
      </c>
      <c r="W9" s="579" t="s">
        <v>146</v>
      </c>
      <c r="X9" s="579" t="s">
        <v>146</v>
      </c>
      <c r="Y9" s="579" t="s">
        <v>146</v>
      </c>
      <c r="Z9" s="1206"/>
      <c r="AA9" s="579" t="s">
        <v>154</v>
      </c>
      <c r="AB9" s="579" t="s">
        <v>154</v>
      </c>
      <c r="AC9" s="579" t="s">
        <v>154</v>
      </c>
      <c r="AD9" s="579" t="s">
        <v>154</v>
      </c>
      <c r="AE9" s="579" t="s">
        <v>154</v>
      </c>
      <c r="AF9" s="579" t="s">
        <v>154</v>
      </c>
      <c r="AG9" s="579" t="s">
        <v>154</v>
      </c>
      <c r="AH9" s="579" t="s">
        <v>154</v>
      </c>
      <c r="AI9" s="579" t="s">
        <v>154</v>
      </c>
      <c r="AJ9" s="93"/>
      <c r="AK9" s="417"/>
    </row>
    <row r="10" spans="2:37" s="404" customFormat="1" x14ac:dyDescent="0.2">
      <c r="B10" s="418"/>
      <c r="C10" s="412"/>
      <c r="D10" s="63"/>
      <c r="E10" s="63"/>
      <c r="F10" s="412"/>
      <c r="G10" s="412"/>
      <c r="H10" s="412"/>
      <c r="I10" s="412"/>
      <c r="J10" s="412"/>
      <c r="K10" s="412"/>
      <c r="L10" s="412"/>
      <c r="M10" s="412"/>
      <c r="N10" s="342"/>
      <c r="O10" s="342"/>
      <c r="P10" s="412"/>
      <c r="Q10" s="412"/>
      <c r="R10" s="412"/>
      <c r="S10" s="412"/>
      <c r="T10" s="412"/>
      <c r="U10" s="412"/>
      <c r="V10" s="412"/>
      <c r="W10" s="412"/>
      <c r="X10" s="412"/>
      <c r="Y10" s="412"/>
      <c r="Z10" s="419"/>
      <c r="AA10" s="412"/>
      <c r="AB10" s="412"/>
      <c r="AC10" s="412"/>
      <c r="AD10" s="412"/>
      <c r="AE10" s="412"/>
      <c r="AF10" s="412"/>
      <c r="AG10" s="412"/>
      <c r="AH10" s="412"/>
      <c r="AI10" s="412"/>
      <c r="AJ10" s="412"/>
      <c r="AK10" s="419"/>
    </row>
    <row r="11" spans="2:37" s="404" customFormat="1" x14ac:dyDescent="0.2">
      <c r="B11" s="418"/>
      <c r="C11" s="207"/>
      <c r="D11" s="420"/>
      <c r="E11" s="420"/>
      <c r="F11" s="207"/>
      <c r="G11" s="207"/>
      <c r="H11" s="207"/>
      <c r="I11" s="207"/>
      <c r="J11" s="207"/>
      <c r="K11" s="207"/>
      <c r="L11" s="207"/>
      <c r="M11" s="207"/>
      <c r="N11" s="355"/>
      <c r="O11" s="421"/>
      <c r="P11" s="70"/>
      <c r="Q11" s="70"/>
      <c r="R11" s="70"/>
      <c r="S11" s="70"/>
      <c r="T11" s="70"/>
      <c r="U11" s="70"/>
      <c r="V11" s="70"/>
      <c r="W11" s="70"/>
      <c r="X11" s="70"/>
      <c r="Y11" s="70"/>
      <c r="Z11" s="1207"/>
      <c r="AA11" s="149"/>
      <c r="AB11" s="70"/>
      <c r="AC11" s="70"/>
      <c r="AD11" s="70"/>
      <c r="AE11" s="70"/>
      <c r="AF11" s="70"/>
      <c r="AG11" s="70"/>
      <c r="AH11" s="70"/>
      <c r="AI11" s="70"/>
      <c r="AJ11" s="207"/>
      <c r="AK11" s="419"/>
    </row>
    <row r="12" spans="2:37" s="404" customFormat="1" x14ac:dyDescent="0.2">
      <c r="B12" s="418"/>
      <c r="C12" s="207"/>
      <c r="D12" s="420"/>
      <c r="E12" s="420"/>
      <c r="F12" s="207"/>
      <c r="G12" s="207"/>
      <c r="H12" s="207"/>
      <c r="I12" s="207"/>
      <c r="J12" s="207"/>
      <c r="K12" s="207"/>
      <c r="L12" s="207"/>
      <c r="M12" s="207"/>
      <c r="N12" s="355"/>
      <c r="O12" s="536">
        <f>SUM(O14:O70)</f>
        <v>27750</v>
      </c>
      <c r="P12" s="70"/>
      <c r="Q12" s="536">
        <f t="shared" ref="Q12:Y12" si="2">SUM(Q14:Q70)</f>
        <v>13875</v>
      </c>
      <c r="R12" s="536">
        <f t="shared" si="2"/>
        <v>13875</v>
      </c>
      <c r="S12" s="536">
        <f t="shared" si="2"/>
        <v>13875</v>
      </c>
      <c r="T12" s="536">
        <f t="shared" si="2"/>
        <v>13875</v>
      </c>
      <c r="U12" s="536">
        <f t="shared" si="2"/>
        <v>13875</v>
      </c>
      <c r="V12" s="536">
        <f t="shared" si="2"/>
        <v>13875</v>
      </c>
      <c r="W12" s="536">
        <f t="shared" si="2"/>
        <v>0</v>
      </c>
      <c r="X12" s="536">
        <f t="shared" si="2"/>
        <v>0</v>
      </c>
      <c r="Y12" s="536">
        <f t="shared" si="2"/>
        <v>0</v>
      </c>
      <c r="Z12" s="1207"/>
      <c r="AA12" s="1200">
        <f t="shared" ref="AA12:AI12" si="3">SUM(AA14:AA70)</f>
        <v>0</v>
      </c>
      <c r="AB12" s="536">
        <f t="shared" si="3"/>
        <v>0</v>
      </c>
      <c r="AC12" s="536">
        <f t="shared" si="3"/>
        <v>55500</v>
      </c>
      <c r="AD12" s="536">
        <f t="shared" si="3"/>
        <v>0</v>
      </c>
      <c r="AE12" s="536">
        <f t="shared" si="3"/>
        <v>0</v>
      </c>
      <c r="AF12" s="536">
        <f t="shared" si="3"/>
        <v>0</v>
      </c>
      <c r="AG12" s="536">
        <f t="shared" si="3"/>
        <v>0</v>
      </c>
      <c r="AH12" s="536">
        <f t="shared" si="3"/>
        <v>0</v>
      </c>
      <c r="AI12" s="536">
        <f t="shared" si="3"/>
        <v>0</v>
      </c>
      <c r="AJ12" s="207"/>
      <c r="AK12" s="419"/>
    </row>
    <row r="13" spans="2:37" s="404" customFormat="1" x14ac:dyDescent="0.2">
      <c r="B13" s="418"/>
      <c r="C13" s="207"/>
      <c r="D13" s="420"/>
      <c r="E13" s="420"/>
      <c r="F13" s="207"/>
      <c r="G13" s="207"/>
      <c r="H13" s="207"/>
      <c r="I13" s="207"/>
      <c r="J13" s="207"/>
      <c r="K13" s="207"/>
      <c r="L13" s="207"/>
      <c r="M13" s="207"/>
      <c r="N13" s="355"/>
      <c r="O13" s="421"/>
      <c r="P13" s="70"/>
      <c r="Q13" s="70"/>
      <c r="R13" s="70"/>
      <c r="S13" s="70"/>
      <c r="T13" s="70"/>
      <c r="U13" s="70"/>
      <c r="V13" s="70"/>
      <c r="W13" s="70"/>
      <c r="X13" s="70"/>
      <c r="Y13" s="70"/>
      <c r="Z13" s="1207"/>
      <c r="AA13" s="149"/>
      <c r="AB13" s="70"/>
      <c r="AC13" s="70"/>
      <c r="AD13" s="70"/>
      <c r="AE13" s="70"/>
      <c r="AF13" s="70"/>
      <c r="AG13" s="70"/>
      <c r="AH13" s="70"/>
      <c r="AI13" s="70"/>
      <c r="AJ13" s="207"/>
      <c r="AK13" s="419"/>
    </row>
    <row r="14" spans="2:37" x14ac:dyDescent="0.2">
      <c r="B14" s="75"/>
      <c r="C14" s="187"/>
      <c r="D14" s="150" t="s">
        <v>966</v>
      </c>
      <c r="E14" s="150" t="s">
        <v>967</v>
      </c>
      <c r="F14" s="151">
        <v>100</v>
      </c>
      <c r="G14" s="66">
        <v>555</v>
      </c>
      <c r="H14" s="151">
        <v>2018</v>
      </c>
      <c r="I14" s="151">
        <v>4</v>
      </c>
      <c r="J14" s="187"/>
      <c r="K14" s="70">
        <f t="shared" ref="K14:K45" si="4">IF(I14="geen",9999999999,I14)</f>
        <v>4</v>
      </c>
      <c r="L14" s="67">
        <f t="shared" ref="L14:L45" si="5">F14*G14</f>
        <v>55500</v>
      </c>
      <c r="M14" s="67">
        <f t="shared" ref="M14:M45" si="6">IF(F14=0,0,(F14*G14)/K14)</f>
        <v>13875</v>
      </c>
      <c r="N14" s="533">
        <f t="shared" ref="N14:N45" si="7">IF(K14=0,"-",(IF(K14&gt;3000,"-",H14+K14-1)))</f>
        <v>2021</v>
      </c>
      <c r="O14" s="67">
        <f t="shared" ref="O14:O45" si="8">IF(I14="geen",IF(H14&lt;$Q$8,F14*G14,0),IF(H14&gt;=$Q$8,0,IF((G14*F14-(Q$8-H14)*M14)&lt;0,0,G14*F14-(Q$8-H14)*M14)))</f>
        <v>27750</v>
      </c>
      <c r="P14" s="187"/>
      <c r="Q14" s="67">
        <f t="shared" ref="Q14:R33" si="9">(IF(Q$8&lt;$H14,0,IF($N14&lt;=Q$8-1,0,$M14)))</f>
        <v>13875</v>
      </c>
      <c r="R14" s="67">
        <f t="shared" si="9"/>
        <v>13875</v>
      </c>
      <c r="S14" s="67">
        <f t="shared" ref="S14:S45" si="10">IF(S$8&lt;$H14,0,IF($N14&lt;=S$8-1,0,$M14))</f>
        <v>0</v>
      </c>
      <c r="T14" s="67">
        <f t="shared" ref="T14:Y33" si="11">(IF(T$8&lt;$H14,0,IF($N14&lt;=T$8-1,0,$M14)))</f>
        <v>0</v>
      </c>
      <c r="U14" s="67">
        <f t="shared" si="11"/>
        <v>0</v>
      </c>
      <c r="V14" s="67">
        <f t="shared" si="11"/>
        <v>0</v>
      </c>
      <c r="W14" s="67">
        <f t="shared" si="11"/>
        <v>0</v>
      </c>
      <c r="X14" s="67">
        <f t="shared" si="11"/>
        <v>0</v>
      </c>
      <c r="Y14" s="67">
        <f t="shared" si="11"/>
        <v>0</v>
      </c>
      <c r="Z14" s="1208"/>
      <c r="AA14" s="1201">
        <f t="shared" ref="AA14:AI23" si="12">IF(AA$8=$H14,($F14*$G14),0)</f>
        <v>0</v>
      </c>
      <c r="AB14" s="67">
        <f t="shared" si="12"/>
        <v>0</v>
      </c>
      <c r="AC14" s="67">
        <f t="shared" si="12"/>
        <v>0</v>
      </c>
      <c r="AD14" s="67">
        <f t="shared" si="12"/>
        <v>0</v>
      </c>
      <c r="AE14" s="67">
        <f t="shared" si="12"/>
        <v>0</v>
      </c>
      <c r="AF14" s="67">
        <f t="shared" si="12"/>
        <v>0</v>
      </c>
      <c r="AG14" s="67">
        <f t="shared" si="12"/>
        <v>0</v>
      </c>
      <c r="AH14" s="67">
        <f t="shared" si="12"/>
        <v>0</v>
      </c>
      <c r="AI14" s="67">
        <f t="shared" si="12"/>
        <v>0</v>
      </c>
      <c r="AJ14" s="187"/>
      <c r="AK14" s="77"/>
    </row>
    <row r="15" spans="2:37" x14ac:dyDescent="0.2">
      <c r="B15" s="75"/>
      <c r="C15" s="187"/>
      <c r="D15" s="150" t="s">
        <v>966</v>
      </c>
      <c r="E15" s="150" t="s">
        <v>967</v>
      </c>
      <c r="F15" s="151">
        <v>100</v>
      </c>
      <c r="G15" s="66">
        <v>555</v>
      </c>
      <c r="H15" s="151">
        <v>2022</v>
      </c>
      <c r="I15" s="151">
        <v>4</v>
      </c>
      <c r="J15" s="187"/>
      <c r="K15" s="70">
        <f t="shared" si="4"/>
        <v>4</v>
      </c>
      <c r="L15" s="67">
        <f t="shared" si="5"/>
        <v>55500</v>
      </c>
      <c r="M15" s="67">
        <f t="shared" si="6"/>
        <v>13875</v>
      </c>
      <c r="N15" s="533">
        <f t="shared" si="7"/>
        <v>2025</v>
      </c>
      <c r="O15" s="67">
        <f t="shared" si="8"/>
        <v>0</v>
      </c>
      <c r="P15" s="187"/>
      <c r="Q15" s="67">
        <f t="shared" si="9"/>
        <v>0</v>
      </c>
      <c r="R15" s="67">
        <f t="shared" si="9"/>
        <v>0</v>
      </c>
      <c r="S15" s="67">
        <f t="shared" si="10"/>
        <v>13875</v>
      </c>
      <c r="T15" s="67">
        <f t="shared" si="11"/>
        <v>13875</v>
      </c>
      <c r="U15" s="67">
        <f t="shared" si="11"/>
        <v>13875</v>
      </c>
      <c r="V15" s="67">
        <f t="shared" si="11"/>
        <v>13875</v>
      </c>
      <c r="W15" s="67">
        <f t="shared" si="11"/>
        <v>0</v>
      </c>
      <c r="X15" s="67">
        <f t="shared" si="11"/>
        <v>0</v>
      </c>
      <c r="Y15" s="67">
        <f t="shared" si="11"/>
        <v>0</v>
      </c>
      <c r="Z15" s="1208"/>
      <c r="AA15" s="1201">
        <f t="shared" si="12"/>
        <v>0</v>
      </c>
      <c r="AB15" s="67">
        <f t="shared" si="12"/>
        <v>0</v>
      </c>
      <c r="AC15" s="67">
        <f t="shared" si="12"/>
        <v>55500</v>
      </c>
      <c r="AD15" s="67">
        <f t="shared" si="12"/>
        <v>0</v>
      </c>
      <c r="AE15" s="67">
        <f t="shared" si="12"/>
        <v>0</v>
      </c>
      <c r="AF15" s="67">
        <f t="shared" si="12"/>
        <v>0</v>
      </c>
      <c r="AG15" s="67">
        <f t="shared" si="12"/>
        <v>0</v>
      </c>
      <c r="AH15" s="67">
        <f t="shared" si="12"/>
        <v>0</v>
      </c>
      <c r="AI15" s="67">
        <f t="shared" si="12"/>
        <v>0</v>
      </c>
      <c r="AJ15" s="187"/>
      <c r="AK15" s="77"/>
    </row>
    <row r="16" spans="2:37" x14ac:dyDescent="0.2">
      <c r="B16" s="75"/>
      <c r="C16" s="187"/>
      <c r="D16" s="150"/>
      <c r="E16" s="150"/>
      <c r="F16" s="151"/>
      <c r="G16" s="66"/>
      <c r="H16" s="151"/>
      <c r="I16" s="151"/>
      <c r="J16" s="187"/>
      <c r="K16" s="70">
        <f t="shared" si="4"/>
        <v>0</v>
      </c>
      <c r="L16" s="67">
        <f t="shared" si="5"/>
        <v>0</v>
      </c>
      <c r="M16" s="67">
        <f t="shared" si="6"/>
        <v>0</v>
      </c>
      <c r="N16" s="533" t="str">
        <f t="shared" si="7"/>
        <v>-</v>
      </c>
      <c r="O16" s="67">
        <f t="shared" si="8"/>
        <v>0</v>
      </c>
      <c r="P16" s="187"/>
      <c r="Q16" s="67">
        <f t="shared" si="9"/>
        <v>0</v>
      </c>
      <c r="R16" s="67">
        <f t="shared" si="9"/>
        <v>0</v>
      </c>
      <c r="S16" s="67">
        <f t="shared" si="10"/>
        <v>0</v>
      </c>
      <c r="T16" s="67">
        <f t="shared" si="11"/>
        <v>0</v>
      </c>
      <c r="U16" s="67">
        <f t="shared" si="11"/>
        <v>0</v>
      </c>
      <c r="V16" s="67">
        <f t="shared" si="11"/>
        <v>0</v>
      </c>
      <c r="W16" s="67">
        <f t="shared" si="11"/>
        <v>0</v>
      </c>
      <c r="X16" s="67">
        <f t="shared" si="11"/>
        <v>0</v>
      </c>
      <c r="Y16" s="67">
        <f t="shared" si="11"/>
        <v>0</v>
      </c>
      <c r="Z16" s="1208"/>
      <c r="AA16" s="1201">
        <f t="shared" si="12"/>
        <v>0</v>
      </c>
      <c r="AB16" s="67">
        <f t="shared" si="12"/>
        <v>0</v>
      </c>
      <c r="AC16" s="67">
        <f t="shared" si="12"/>
        <v>0</v>
      </c>
      <c r="AD16" s="67">
        <f t="shared" si="12"/>
        <v>0</v>
      </c>
      <c r="AE16" s="67">
        <f t="shared" si="12"/>
        <v>0</v>
      </c>
      <c r="AF16" s="67">
        <f t="shared" si="12"/>
        <v>0</v>
      </c>
      <c r="AG16" s="67">
        <f t="shared" si="12"/>
        <v>0</v>
      </c>
      <c r="AH16" s="67">
        <f t="shared" si="12"/>
        <v>0</v>
      </c>
      <c r="AI16" s="67">
        <f t="shared" si="12"/>
        <v>0</v>
      </c>
      <c r="AJ16" s="187"/>
      <c r="AK16" s="77"/>
    </row>
    <row r="17" spans="2:37" x14ac:dyDescent="0.2">
      <c r="B17" s="75"/>
      <c r="C17" s="187"/>
      <c r="D17" s="150"/>
      <c r="E17" s="150"/>
      <c r="F17" s="151"/>
      <c r="G17" s="66"/>
      <c r="H17" s="151"/>
      <c r="I17" s="151"/>
      <c r="J17" s="187"/>
      <c r="K17" s="70">
        <f t="shared" si="4"/>
        <v>0</v>
      </c>
      <c r="L17" s="67">
        <f t="shared" si="5"/>
        <v>0</v>
      </c>
      <c r="M17" s="67">
        <f t="shared" si="6"/>
        <v>0</v>
      </c>
      <c r="N17" s="533" t="str">
        <f t="shared" si="7"/>
        <v>-</v>
      </c>
      <c r="O17" s="67">
        <f t="shared" si="8"/>
        <v>0</v>
      </c>
      <c r="P17" s="187"/>
      <c r="Q17" s="67">
        <f t="shared" si="9"/>
        <v>0</v>
      </c>
      <c r="R17" s="67">
        <f t="shared" si="9"/>
        <v>0</v>
      </c>
      <c r="S17" s="67">
        <f t="shared" si="10"/>
        <v>0</v>
      </c>
      <c r="T17" s="67">
        <f t="shared" si="11"/>
        <v>0</v>
      </c>
      <c r="U17" s="67">
        <f t="shared" si="11"/>
        <v>0</v>
      </c>
      <c r="V17" s="67">
        <f t="shared" si="11"/>
        <v>0</v>
      </c>
      <c r="W17" s="67">
        <f t="shared" si="11"/>
        <v>0</v>
      </c>
      <c r="X17" s="67">
        <f t="shared" si="11"/>
        <v>0</v>
      </c>
      <c r="Y17" s="67">
        <f t="shared" si="11"/>
        <v>0</v>
      </c>
      <c r="Z17" s="1208"/>
      <c r="AA17" s="1201">
        <f t="shared" si="12"/>
        <v>0</v>
      </c>
      <c r="AB17" s="67">
        <f t="shared" si="12"/>
        <v>0</v>
      </c>
      <c r="AC17" s="67">
        <f t="shared" si="12"/>
        <v>0</v>
      </c>
      <c r="AD17" s="67">
        <f t="shared" si="12"/>
        <v>0</v>
      </c>
      <c r="AE17" s="67">
        <f t="shared" si="12"/>
        <v>0</v>
      </c>
      <c r="AF17" s="67">
        <f t="shared" si="12"/>
        <v>0</v>
      </c>
      <c r="AG17" s="67">
        <f t="shared" si="12"/>
        <v>0</v>
      </c>
      <c r="AH17" s="67">
        <f t="shared" si="12"/>
        <v>0</v>
      </c>
      <c r="AI17" s="67">
        <f t="shared" si="12"/>
        <v>0</v>
      </c>
      <c r="AJ17" s="187"/>
      <c r="AK17" s="77"/>
    </row>
    <row r="18" spans="2:37" x14ac:dyDescent="0.2">
      <c r="B18" s="75"/>
      <c r="C18" s="187"/>
      <c r="D18" s="150"/>
      <c r="E18" s="150"/>
      <c r="F18" s="151"/>
      <c r="G18" s="66"/>
      <c r="H18" s="151"/>
      <c r="I18" s="151"/>
      <c r="J18" s="187"/>
      <c r="K18" s="70">
        <f t="shared" si="4"/>
        <v>0</v>
      </c>
      <c r="L18" s="67">
        <f t="shared" si="5"/>
        <v>0</v>
      </c>
      <c r="M18" s="67">
        <f t="shared" si="6"/>
        <v>0</v>
      </c>
      <c r="N18" s="533" t="str">
        <f t="shared" si="7"/>
        <v>-</v>
      </c>
      <c r="O18" s="67">
        <f t="shared" si="8"/>
        <v>0</v>
      </c>
      <c r="P18" s="187"/>
      <c r="Q18" s="67">
        <f t="shared" si="9"/>
        <v>0</v>
      </c>
      <c r="R18" s="67">
        <f t="shared" si="9"/>
        <v>0</v>
      </c>
      <c r="S18" s="67">
        <f t="shared" si="10"/>
        <v>0</v>
      </c>
      <c r="T18" s="67">
        <f t="shared" si="11"/>
        <v>0</v>
      </c>
      <c r="U18" s="67">
        <f t="shared" si="11"/>
        <v>0</v>
      </c>
      <c r="V18" s="67">
        <f t="shared" si="11"/>
        <v>0</v>
      </c>
      <c r="W18" s="67">
        <f t="shared" si="11"/>
        <v>0</v>
      </c>
      <c r="X18" s="67">
        <f t="shared" si="11"/>
        <v>0</v>
      </c>
      <c r="Y18" s="67">
        <f t="shared" si="11"/>
        <v>0</v>
      </c>
      <c r="Z18" s="1208"/>
      <c r="AA18" s="1201">
        <f t="shared" si="12"/>
        <v>0</v>
      </c>
      <c r="AB18" s="67">
        <f t="shared" si="12"/>
        <v>0</v>
      </c>
      <c r="AC18" s="67">
        <f t="shared" si="12"/>
        <v>0</v>
      </c>
      <c r="AD18" s="67">
        <f t="shared" si="12"/>
        <v>0</v>
      </c>
      <c r="AE18" s="67">
        <f t="shared" si="12"/>
        <v>0</v>
      </c>
      <c r="AF18" s="67">
        <f t="shared" si="12"/>
        <v>0</v>
      </c>
      <c r="AG18" s="67">
        <f t="shared" si="12"/>
        <v>0</v>
      </c>
      <c r="AH18" s="67">
        <f t="shared" si="12"/>
        <v>0</v>
      </c>
      <c r="AI18" s="67">
        <f t="shared" si="12"/>
        <v>0</v>
      </c>
      <c r="AJ18" s="187"/>
      <c r="AK18" s="77"/>
    </row>
    <row r="19" spans="2:37" x14ac:dyDescent="0.2">
      <c r="B19" s="75"/>
      <c r="C19" s="187"/>
      <c r="D19" s="150"/>
      <c r="E19" s="150"/>
      <c r="F19" s="151"/>
      <c r="G19" s="66"/>
      <c r="H19" s="151"/>
      <c r="I19" s="151"/>
      <c r="J19" s="187"/>
      <c r="K19" s="70">
        <f t="shared" si="4"/>
        <v>0</v>
      </c>
      <c r="L19" s="67">
        <f t="shared" si="5"/>
        <v>0</v>
      </c>
      <c r="M19" s="67">
        <f t="shared" si="6"/>
        <v>0</v>
      </c>
      <c r="N19" s="533" t="str">
        <f t="shared" si="7"/>
        <v>-</v>
      </c>
      <c r="O19" s="67">
        <f t="shared" si="8"/>
        <v>0</v>
      </c>
      <c r="P19" s="187"/>
      <c r="Q19" s="67">
        <f t="shared" si="9"/>
        <v>0</v>
      </c>
      <c r="R19" s="67">
        <f t="shared" si="9"/>
        <v>0</v>
      </c>
      <c r="S19" s="67">
        <f t="shared" si="10"/>
        <v>0</v>
      </c>
      <c r="T19" s="67">
        <f t="shared" si="11"/>
        <v>0</v>
      </c>
      <c r="U19" s="67">
        <f t="shared" si="11"/>
        <v>0</v>
      </c>
      <c r="V19" s="67">
        <f t="shared" si="11"/>
        <v>0</v>
      </c>
      <c r="W19" s="67">
        <f t="shared" si="11"/>
        <v>0</v>
      </c>
      <c r="X19" s="67">
        <f t="shared" si="11"/>
        <v>0</v>
      </c>
      <c r="Y19" s="67">
        <f t="shared" si="11"/>
        <v>0</v>
      </c>
      <c r="Z19" s="1208"/>
      <c r="AA19" s="1201">
        <f t="shared" si="12"/>
        <v>0</v>
      </c>
      <c r="AB19" s="67">
        <f t="shared" si="12"/>
        <v>0</v>
      </c>
      <c r="AC19" s="67">
        <f t="shared" si="12"/>
        <v>0</v>
      </c>
      <c r="AD19" s="67">
        <f t="shared" si="12"/>
        <v>0</v>
      </c>
      <c r="AE19" s="67">
        <f t="shared" si="12"/>
        <v>0</v>
      </c>
      <c r="AF19" s="67">
        <f t="shared" si="12"/>
        <v>0</v>
      </c>
      <c r="AG19" s="67">
        <f t="shared" si="12"/>
        <v>0</v>
      </c>
      <c r="AH19" s="67">
        <f t="shared" si="12"/>
        <v>0</v>
      </c>
      <c r="AI19" s="67">
        <f t="shared" si="12"/>
        <v>0</v>
      </c>
      <c r="AJ19" s="187"/>
      <c r="AK19" s="77"/>
    </row>
    <row r="20" spans="2:37" x14ac:dyDescent="0.2">
      <c r="B20" s="75"/>
      <c r="C20" s="187"/>
      <c r="D20" s="150"/>
      <c r="E20" s="150"/>
      <c r="F20" s="151"/>
      <c r="G20" s="66"/>
      <c r="H20" s="151"/>
      <c r="I20" s="151"/>
      <c r="J20" s="187"/>
      <c r="K20" s="70">
        <f t="shared" si="4"/>
        <v>0</v>
      </c>
      <c r="L20" s="67">
        <f t="shared" si="5"/>
        <v>0</v>
      </c>
      <c r="M20" s="67">
        <f t="shared" si="6"/>
        <v>0</v>
      </c>
      <c r="N20" s="533" t="str">
        <f t="shared" si="7"/>
        <v>-</v>
      </c>
      <c r="O20" s="67">
        <f t="shared" si="8"/>
        <v>0</v>
      </c>
      <c r="P20" s="187"/>
      <c r="Q20" s="67">
        <f t="shared" si="9"/>
        <v>0</v>
      </c>
      <c r="R20" s="67">
        <f t="shared" si="9"/>
        <v>0</v>
      </c>
      <c r="S20" s="67">
        <f t="shared" si="10"/>
        <v>0</v>
      </c>
      <c r="T20" s="67">
        <f t="shared" si="11"/>
        <v>0</v>
      </c>
      <c r="U20" s="67">
        <f t="shared" si="11"/>
        <v>0</v>
      </c>
      <c r="V20" s="67">
        <f t="shared" si="11"/>
        <v>0</v>
      </c>
      <c r="W20" s="67">
        <f t="shared" si="11"/>
        <v>0</v>
      </c>
      <c r="X20" s="67">
        <f t="shared" si="11"/>
        <v>0</v>
      </c>
      <c r="Y20" s="67">
        <f t="shared" si="11"/>
        <v>0</v>
      </c>
      <c r="Z20" s="1208"/>
      <c r="AA20" s="1201">
        <f t="shared" si="12"/>
        <v>0</v>
      </c>
      <c r="AB20" s="67">
        <f t="shared" si="12"/>
        <v>0</v>
      </c>
      <c r="AC20" s="67">
        <f t="shared" si="12"/>
        <v>0</v>
      </c>
      <c r="AD20" s="67">
        <f t="shared" si="12"/>
        <v>0</v>
      </c>
      <c r="AE20" s="67">
        <f t="shared" si="12"/>
        <v>0</v>
      </c>
      <c r="AF20" s="67">
        <f t="shared" si="12"/>
        <v>0</v>
      </c>
      <c r="AG20" s="67">
        <f t="shared" si="12"/>
        <v>0</v>
      </c>
      <c r="AH20" s="67">
        <f t="shared" si="12"/>
        <v>0</v>
      </c>
      <c r="AI20" s="67">
        <f t="shared" si="12"/>
        <v>0</v>
      </c>
      <c r="AJ20" s="187"/>
      <c r="AK20" s="77"/>
    </row>
    <row r="21" spans="2:37" x14ac:dyDescent="0.2">
      <c r="B21" s="75"/>
      <c r="C21" s="187"/>
      <c r="D21" s="150"/>
      <c r="E21" s="150"/>
      <c r="F21" s="151"/>
      <c r="G21" s="66"/>
      <c r="H21" s="151"/>
      <c r="I21" s="151"/>
      <c r="J21" s="187"/>
      <c r="K21" s="70">
        <f t="shared" si="4"/>
        <v>0</v>
      </c>
      <c r="L21" s="67">
        <f t="shared" si="5"/>
        <v>0</v>
      </c>
      <c r="M21" s="67">
        <f t="shared" si="6"/>
        <v>0</v>
      </c>
      <c r="N21" s="533" t="str">
        <f t="shared" si="7"/>
        <v>-</v>
      </c>
      <c r="O21" s="67">
        <f t="shared" si="8"/>
        <v>0</v>
      </c>
      <c r="P21" s="187"/>
      <c r="Q21" s="67">
        <f t="shared" si="9"/>
        <v>0</v>
      </c>
      <c r="R21" s="67">
        <f t="shared" si="9"/>
        <v>0</v>
      </c>
      <c r="S21" s="67">
        <f t="shared" si="10"/>
        <v>0</v>
      </c>
      <c r="T21" s="67">
        <f t="shared" si="11"/>
        <v>0</v>
      </c>
      <c r="U21" s="67">
        <f t="shared" si="11"/>
        <v>0</v>
      </c>
      <c r="V21" s="67">
        <f t="shared" si="11"/>
        <v>0</v>
      </c>
      <c r="W21" s="67">
        <f t="shared" si="11"/>
        <v>0</v>
      </c>
      <c r="X21" s="67">
        <f t="shared" si="11"/>
        <v>0</v>
      </c>
      <c r="Y21" s="67">
        <f t="shared" si="11"/>
        <v>0</v>
      </c>
      <c r="Z21" s="1208"/>
      <c r="AA21" s="1201">
        <f t="shared" si="12"/>
        <v>0</v>
      </c>
      <c r="AB21" s="67">
        <f t="shared" si="12"/>
        <v>0</v>
      </c>
      <c r="AC21" s="67">
        <f t="shared" si="12"/>
        <v>0</v>
      </c>
      <c r="AD21" s="67">
        <f t="shared" si="12"/>
        <v>0</v>
      </c>
      <c r="AE21" s="67">
        <f t="shared" si="12"/>
        <v>0</v>
      </c>
      <c r="AF21" s="67">
        <f t="shared" si="12"/>
        <v>0</v>
      </c>
      <c r="AG21" s="67">
        <f t="shared" si="12"/>
        <v>0</v>
      </c>
      <c r="AH21" s="67">
        <f t="shared" si="12"/>
        <v>0</v>
      </c>
      <c r="AI21" s="67">
        <f t="shared" si="12"/>
        <v>0</v>
      </c>
      <c r="AJ21" s="187"/>
      <c r="AK21" s="77"/>
    </row>
    <row r="22" spans="2:37" x14ac:dyDescent="0.2">
      <c r="B22" s="75"/>
      <c r="C22" s="187"/>
      <c r="D22" s="150"/>
      <c r="E22" s="150"/>
      <c r="F22" s="151"/>
      <c r="G22" s="66"/>
      <c r="H22" s="151"/>
      <c r="I22" s="151"/>
      <c r="J22" s="187"/>
      <c r="K22" s="70">
        <f t="shared" si="4"/>
        <v>0</v>
      </c>
      <c r="L22" s="67">
        <f t="shared" si="5"/>
        <v>0</v>
      </c>
      <c r="M22" s="67">
        <f t="shared" si="6"/>
        <v>0</v>
      </c>
      <c r="N22" s="533" t="str">
        <f t="shared" si="7"/>
        <v>-</v>
      </c>
      <c r="O22" s="67">
        <f t="shared" si="8"/>
        <v>0</v>
      </c>
      <c r="P22" s="187"/>
      <c r="Q22" s="67">
        <f t="shared" si="9"/>
        <v>0</v>
      </c>
      <c r="R22" s="67">
        <f t="shared" si="9"/>
        <v>0</v>
      </c>
      <c r="S22" s="67">
        <f t="shared" si="10"/>
        <v>0</v>
      </c>
      <c r="T22" s="67">
        <f t="shared" si="11"/>
        <v>0</v>
      </c>
      <c r="U22" s="67">
        <f t="shared" si="11"/>
        <v>0</v>
      </c>
      <c r="V22" s="67">
        <f t="shared" si="11"/>
        <v>0</v>
      </c>
      <c r="W22" s="67">
        <f t="shared" si="11"/>
        <v>0</v>
      </c>
      <c r="X22" s="67">
        <f t="shared" si="11"/>
        <v>0</v>
      </c>
      <c r="Y22" s="67">
        <f t="shared" si="11"/>
        <v>0</v>
      </c>
      <c r="Z22" s="1208"/>
      <c r="AA22" s="1201">
        <f t="shared" si="12"/>
        <v>0</v>
      </c>
      <c r="AB22" s="67">
        <f t="shared" si="12"/>
        <v>0</v>
      </c>
      <c r="AC22" s="67">
        <f t="shared" si="12"/>
        <v>0</v>
      </c>
      <c r="AD22" s="67">
        <f t="shared" si="12"/>
        <v>0</v>
      </c>
      <c r="AE22" s="67">
        <f t="shared" si="12"/>
        <v>0</v>
      </c>
      <c r="AF22" s="67">
        <f t="shared" si="12"/>
        <v>0</v>
      </c>
      <c r="AG22" s="67">
        <f t="shared" si="12"/>
        <v>0</v>
      </c>
      <c r="AH22" s="67">
        <f t="shared" si="12"/>
        <v>0</v>
      </c>
      <c r="AI22" s="67">
        <f t="shared" si="12"/>
        <v>0</v>
      </c>
      <c r="AJ22" s="187"/>
      <c r="AK22" s="77"/>
    </row>
    <row r="23" spans="2:37" x14ac:dyDescent="0.2">
      <c r="B23" s="75"/>
      <c r="C23" s="187"/>
      <c r="D23" s="150"/>
      <c r="E23" s="150"/>
      <c r="F23" s="151"/>
      <c r="G23" s="66"/>
      <c r="H23" s="151"/>
      <c r="I23" s="151"/>
      <c r="J23" s="187"/>
      <c r="K23" s="70">
        <f t="shared" si="4"/>
        <v>0</v>
      </c>
      <c r="L23" s="67">
        <f t="shared" si="5"/>
        <v>0</v>
      </c>
      <c r="M23" s="67">
        <f t="shared" si="6"/>
        <v>0</v>
      </c>
      <c r="N23" s="533" t="str">
        <f t="shared" si="7"/>
        <v>-</v>
      </c>
      <c r="O23" s="67">
        <f t="shared" si="8"/>
        <v>0</v>
      </c>
      <c r="P23" s="187"/>
      <c r="Q23" s="67">
        <f t="shared" si="9"/>
        <v>0</v>
      </c>
      <c r="R23" s="67">
        <f t="shared" si="9"/>
        <v>0</v>
      </c>
      <c r="S23" s="67">
        <f t="shared" si="10"/>
        <v>0</v>
      </c>
      <c r="T23" s="67">
        <f t="shared" si="11"/>
        <v>0</v>
      </c>
      <c r="U23" s="67">
        <f t="shared" si="11"/>
        <v>0</v>
      </c>
      <c r="V23" s="67">
        <f t="shared" si="11"/>
        <v>0</v>
      </c>
      <c r="W23" s="67">
        <f t="shared" si="11"/>
        <v>0</v>
      </c>
      <c r="X23" s="67">
        <f t="shared" si="11"/>
        <v>0</v>
      </c>
      <c r="Y23" s="67">
        <f t="shared" si="11"/>
        <v>0</v>
      </c>
      <c r="Z23" s="1208"/>
      <c r="AA23" s="1201">
        <f t="shared" si="12"/>
        <v>0</v>
      </c>
      <c r="AB23" s="67">
        <f t="shared" si="12"/>
        <v>0</v>
      </c>
      <c r="AC23" s="67">
        <f t="shared" si="12"/>
        <v>0</v>
      </c>
      <c r="AD23" s="67">
        <f t="shared" si="12"/>
        <v>0</v>
      </c>
      <c r="AE23" s="67">
        <f t="shared" si="12"/>
        <v>0</v>
      </c>
      <c r="AF23" s="67">
        <f t="shared" si="12"/>
        <v>0</v>
      </c>
      <c r="AG23" s="67">
        <f t="shared" si="12"/>
        <v>0</v>
      </c>
      <c r="AH23" s="67">
        <f t="shared" si="12"/>
        <v>0</v>
      </c>
      <c r="AI23" s="67">
        <f t="shared" si="12"/>
        <v>0</v>
      </c>
      <c r="AJ23" s="187"/>
      <c r="AK23" s="77"/>
    </row>
    <row r="24" spans="2:37" x14ac:dyDescent="0.2">
      <c r="B24" s="75"/>
      <c r="C24" s="187"/>
      <c r="D24" s="150"/>
      <c r="E24" s="150"/>
      <c r="F24" s="151"/>
      <c r="G24" s="66"/>
      <c r="H24" s="151"/>
      <c r="I24" s="151"/>
      <c r="J24" s="187"/>
      <c r="K24" s="70">
        <f t="shared" si="4"/>
        <v>0</v>
      </c>
      <c r="L24" s="67">
        <f t="shared" si="5"/>
        <v>0</v>
      </c>
      <c r="M24" s="67">
        <f t="shared" si="6"/>
        <v>0</v>
      </c>
      <c r="N24" s="533" t="str">
        <f t="shared" si="7"/>
        <v>-</v>
      </c>
      <c r="O24" s="67">
        <f t="shared" si="8"/>
        <v>0</v>
      </c>
      <c r="P24" s="187"/>
      <c r="Q24" s="67">
        <f t="shared" si="9"/>
        <v>0</v>
      </c>
      <c r="R24" s="67">
        <f t="shared" si="9"/>
        <v>0</v>
      </c>
      <c r="S24" s="67">
        <f t="shared" si="10"/>
        <v>0</v>
      </c>
      <c r="T24" s="67">
        <f t="shared" si="11"/>
        <v>0</v>
      </c>
      <c r="U24" s="67">
        <f t="shared" si="11"/>
        <v>0</v>
      </c>
      <c r="V24" s="67">
        <f t="shared" si="11"/>
        <v>0</v>
      </c>
      <c r="W24" s="67">
        <f t="shared" si="11"/>
        <v>0</v>
      </c>
      <c r="X24" s="67">
        <f t="shared" si="11"/>
        <v>0</v>
      </c>
      <c r="Y24" s="67">
        <f t="shared" si="11"/>
        <v>0</v>
      </c>
      <c r="Z24" s="1208"/>
      <c r="AA24" s="1201">
        <f t="shared" ref="AA24:AI33" si="13">IF(AA$8=$H24,($F24*$G24),0)</f>
        <v>0</v>
      </c>
      <c r="AB24" s="67">
        <f t="shared" si="13"/>
        <v>0</v>
      </c>
      <c r="AC24" s="67">
        <f t="shared" si="13"/>
        <v>0</v>
      </c>
      <c r="AD24" s="67">
        <f t="shared" si="13"/>
        <v>0</v>
      </c>
      <c r="AE24" s="67">
        <f t="shared" si="13"/>
        <v>0</v>
      </c>
      <c r="AF24" s="67">
        <f t="shared" si="13"/>
        <v>0</v>
      </c>
      <c r="AG24" s="67">
        <f t="shared" si="13"/>
        <v>0</v>
      </c>
      <c r="AH24" s="67">
        <f t="shared" si="13"/>
        <v>0</v>
      </c>
      <c r="AI24" s="67">
        <f t="shared" si="13"/>
        <v>0</v>
      </c>
      <c r="AJ24" s="187"/>
      <c r="AK24" s="77"/>
    </row>
    <row r="25" spans="2:37" x14ac:dyDescent="0.2">
      <c r="B25" s="75"/>
      <c r="C25" s="187"/>
      <c r="D25" s="150"/>
      <c r="E25" s="150"/>
      <c r="F25" s="151"/>
      <c r="G25" s="66"/>
      <c r="H25" s="151"/>
      <c r="I25" s="151"/>
      <c r="J25" s="187"/>
      <c r="K25" s="70">
        <f t="shared" si="4"/>
        <v>0</v>
      </c>
      <c r="L25" s="67">
        <f t="shared" si="5"/>
        <v>0</v>
      </c>
      <c r="M25" s="67">
        <f t="shared" si="6"/>
        <v>0</v>
      </c>
      <c r="N25" s="533" t="str">
        <f t="shared" si="7"/>
        <v>-</v>
      </c>
      <c r="O25" s="67">
        <f t="shared" si="8"/>
        <v>0</v>
      </c>
      <c r="P25" s="187"/>
      <c r="Q25" s="67">
        <f t="shared" si="9"/>
        <v>0</v>
      </c>
      <c r="R25" s="67">
        <f t="shared" si="9"/>
        <v>0</v>
      </c>
      <c r="S25" s="67">
        <f t="shared" si="10"/>
        <v>0</v>
      </c>
      <c r="T25" s="67">
        <f t="shared" si="11"/>
        <v>0</v>
      </c>
      <c r="U25" s="67">
        <f t="shared" si="11"/>
        <v>0</v>
      </c>
      <c r="V25" s="67">
        <f t="shared" si="11"/>
        <v>0</v>
      </c>
      <c r="W25" s="67">
        <f t="shared" si="11"/>
        <v>0</v>
      </c>
      <c r="X25" s="67">
        <f t="shared" si="11"/>
        <v>0</v>
      </c>
      <c r="Y25" s="67">
        <f t="shared" si="11"/>
        <v>0</v>
      </c>
      <c r="Z25" s="1208"/>
      <c r="AA25" s="1201">
        <f t="shared" si="13"/>
        <v>0</v>
      </c>
      <c r="AB25" s="67">
        <f t="shared" si="13"/>
        <v>0</v>
      </c>
      <c r="AC25" s="67">
        <f t="shared" si="13"/>
        <v>0</v>
      </c>
      <c r="AD25" s="67">
        <f t="shared" si="13"/>
        <v>0</v>
      </c>
      <c r="AE25" s="67">
        <f t="shared" si="13"/>
        <v>0</v>
      </c>
      <c r="AF25" s="67">
        <f t="shared" si="13"/>
        <v>0</v>
      </c>
      <c r="AG25" s="67">
        <f t="shared" si="13"/>
        <v>0</v>
      </c>
      <c r="AH25" s="67">
        <f t="shared" si="13"/>
        <v>0</v>
      </c>
      <c r="AI25" s="67">
        <f t="shared" si="13"/>
        <v>0</v>
      </c>
      <c r="AJ25" s="187"/>
      <c r="AK25" s="77"/>
    </row>
    <row r="26" spans="2:37" x14ac:dyDescent="0.2">
      <c r="B26" s="75"/>
      <c r="C26" s="187"/>
      <c r="D26" s="150"/>
      <c r="E26" s="150"/>
      <c r="F26" s="151"/>
      <c r="G26" s="66"/>
      <c r="H26" s="151"/>
      <c r="I26" s="151"/>
      <c r="J26" s="187"/>
      <c r="K26" s="70">
        <f t="shared" si="4"/>
        <v>0</v>
      </c>
      <c r="L26" s="67">
        <f t="shared" si="5"/>
        <v>0</v>
      </c>
      <c r="M26" s="67">
        <f t="shared" si="6"/>
        <v>0</v>
      </c>
      <c r="N26" s="533" t="str">
        <f t="shared" si="7"/>
        <v>-</v>
      </c>
      <c r="O26" s="67">
        <f t="shared" si="8"/>
        <v>0</v>
      </c>
      <c r="P26" s="187"/>
      <c r="Q26" s="67">
        <f t="shared" si="9"/>
        <v>0</v>
      </c>
      <c r="R26" s="67">
        <f t="shared" si="9"/>
        <v>0</v>
      </c>
      <c r="S26" s="67">
        <f t="shared" si="10"/>
        <v>0</v>
      </c>
      <c r="T26" s="67">
        <f t="shared" si="11"/>
        <v>0</v>
      </c>
      <c r="U26" s="67">
        <f t="shared" si="11"/>
        <v>0</v>
      </c>
      <c r="V26" s="67">
        <f t="shared" si="11"/>
        <v>0</v>
      </c>
      <c r="W26" s="67">
        <f t="shared" si="11"/>
        <v>0</v>
      </c>
      <c r="X26" s="67">
        <f t="shared" si="11"/>
        <v>0</v>
      </c>
      <c r="Y26" s="67">
        <f t="shared" si="11"/>
        <v>0</v>
      </c>
      <c r="Z26" s="1208"/>
      <c r="AA26" s="1201">
        <f t="shared" si="13"/>
        <v>0</v>
      </c>
      <c r="AB26" s="67">
        <f t="shared" si="13"/>
        <v>0</v>
      </c>
      <c r="AC26" s="67">
        <f t="shared" si="13"/>
        <v>0</v>
      </c>
      <c r="AD26" s="67">
        <f t="shared" si="13"/>
        <v>0</v>
      </c>
      <c r="AE26" s="67">
        <f t="shared" si="13"/>
        <v>0</v>
      </c>
      <c r="AF26" s="67">
        <f t="shared" si="13"/>
        <v>0</v>
      </c>
      <c r="AG26" s="67">
        <f t="shared" si="13"/>
        <v>0</v>
      </c>
      <c r="AH26" s="67">
        <f t="shared" si="13"/>
        <v>0</v>
      </c>
      <c r="AI26" s="67">
        <f t="shared" si="13"/>
        <v>0</v>
      </c>
      <c r="AJ26" s="187"/>
      <c r="AK26" s="77"/>
    </row>
    <row r="27" spans="2:37" x14ac:dyDescent="0.2">
      <c r="B27" s="75"/>
      <c r="C27" s="187"/>
      <c r="D27" s="150"/>
      <c r="E27" s="150"/>
      <c r="F27" s="151"/>
      <c r="G27" s="66"/>
      <c r="H27" s="151"/>
      <c r="I27" s="151"/>
      <c r="J27" s="187"/>
      <c r="K27" s="70">
        <f t="shared" si="4"/>
        <v>0</v>
      </c>
      <c r="L27" s="67">
        <f t="shared" si="5"/>
        <v>0</v>
      </c>
      <c r="M27" s="67">
        <f t="shared" si="6"/>
        <v>0</v>
      </c>
      <c r="N27" s="533" t="str">
        <f t="shared" si="7"/>
        <v>-</v>
      </c>
      <c r="O27" s="67">
        <f t="shared" si="8"/>
        <v>0</v>
      </c>
      <c r="P27" s="187"/>
      <c r="Q27" s="67">
        <f t="shared" si="9"/>
        <v>0</v>
      </c>
      <c r="R27" s="67">
        <f t="shared" si="9"/>
        <v>0</v>
      </c>
      <c r="S27" s="67">
        <f t="shared" si="10"/>
        <v>0</v>
      </c>
      <c r="T27" s="67">
        <f t="shared" si="11"/>
        <v>0</v>
      </c>
      <c r="U27" s="67">
        <f t="shared" si="11"/>
        <v>0</v>
      </c>
      <c r="V27" s="67">
        <f t="shared" si="11"/>
        <v>0</v>
      </c>
      <c r="W27" s="67">
        <f t="shared" si="11"/>
        <v>0</v>
      </c>
      <c r="X27" s="67">
        <f t="shared" si="11"/>
        <v>0</v>
      </c>
      <c r="Y27" s="67">
        <f t="shared" si="11"/>
        <v>0</v>
      </c>
      <c r="Z27" s="1208"/>
      <c r="AA27" s="1201">
        <f t="shared" si="13"/>
        <v>0</v>
      </c>
      <c r="AB27" s="67">
        <f t="shared" si="13"/>
        <v>0</v>
      </c>
      <c r="AC27" s="67">
        <f t="shared" si="13"/>
        <v>0</v>
      </c>
      <c r="AD27" s="67">
        <f t="shared" si="13"/>
        <v>0</v>
      </c>
      <c r="AE27" s="67">
        <f t="shared" si="13"/>
        <v>0</v>
      </c>
      <c r="AF27" s="67">
        <f t="shared" si="13"/>
        <v>0</v>
      </c>
      <c r="AG27" s="67">
        <f t="shared" si="13"/>
        <v>0</v>
      </c>
      <c r="AH27" s="67">
        <f t="shared" si="13"/>
        <v>0</v>
      </c>
      <c r="AI27" s="67">
        <f t="shared" si="13"/>
        <v>0</v>
      </c>
      <c r="AJ27" s="187"/>
      <c r="AK27" s="77"/>
    </row>
    <row r="28" spans="2:37" x14ac:dyDescent="0.2">
      <c r="B28" s="75"/>
      <c r="C28" s="187"/>
      <c r="D28" s="150"/>
      <c r="E28" s="150"/>
      <c r="F28" s="151"/>
      <c r="G28" s="66"/>
      <c r="H28" s="151"/>
      <c r="I28" s="151"/>
      <c r="J28" s="187"/>
      <c r="K28" s="70">
        <f t="shared" si="4"/>
        <v>0</v>
      </c>
      <c r="L28" s="67">
        <f t="shared" si="5"/>
        <v>0</v>
      </c>
      <c r="M28" s="67">
        <f t="shared" si="6"/>
        <v>0</v>
      </c>
      <c r="N28" s="533" t="str">
        <f t="shared" si="7"/>
        <v>-</v>
      </c>
      <c r="O28" s="67">
        <f t="shared" si="8"/>
        <v>0</v>
      </c>
      <c r="P28" s="187"/>
      <c r="Q28" s="67">
        <f t="shared" si="9"/>
        <v>0</v>
      </c>
      <c r="R28" s="67">
        <f t="shared" si="9"/>
        <v>0</v>
      </c>
      <c r="S28" s="67">
        <f t="shared" si="10"/>
        <v>0</v>
      </c>
      <c r="T28" s="67">
        <f t="shared" si="11"/>
        <v>0</v>
      </c>
      <c r="U28" s="67">
        <f t="shared" si="11"/>
        <v>0</v>
      </c>
      <c r="V28" s="67">
        <f t="shared" si="11"/>
        <v>0</v>
      </c>
      <c r="W28" s="67">
        <f t="shared" si="11"/>
        <v>0</v>
      </c>
      <c r="X28" s="67">
        <f t="shared" si="11"/>
        <v>0</v>
      </c>
      <c r="Y28" s="67">
        <f t="shared" si="11"/>
        <v>0</v>
      </c>
      <c r="Z28" s="1208"/>
      <c r="AA28" s="1201">
        <f t="shared" si="13"/>
        <v>0</v>
      </c>
      <c r="AB28" s="67">
        <f t="shared" si="13"/>
        <v>0</v>
      </c>
      <c r="AC28" s="67">
        <f t="shared" si="13"/>
        <v>0</v>
      </c>
      <c r="AD28" s="67">
        <f t="shared" si="13"/>
        <v>0</v>
      </c>
      <c r="AE28" s="67">
        <f t="shared" si="13"/>
        <v>0</v>
      </c>
      <c r="AF28" s="67">
        <f t="shared" si="13"/>
        <v>0</v>
      </c>
      <c r="AG28" s="67">
        <f t="shared" si="13"/>
        <v>0</v>
      </c>
      <c r="AH28" s="67">
        <f t="shared" si="13"/>
        <v>0</v>
      </c>
      <c r="AI28" s="67">
        <f t="shared" si="13"/>
        <v>0</v>
      </c>
      <c r="AJ28" s="187"/>
      <c r="AK28" s="77"/>
    </row>
    <row r="29" spans="2:37" x14ac:dyDescent="0.2">
      <c r="B29" s="75"/>
      <c r="C29" s="187"/>
      <c r="D29" s="150"/>
      <c r="E29" s="150"/>
      <c r="F29" s="151"/>
      <c r="G29" s="66"/>
      <c r="H29" s="151"/>
      <c r="I29" s="151"/>
      <c r="J29" s="187"/>
      <c r="K29" s="70">
        <f t="shared" si="4"/>
        <v>0</v>
      </c>
      <c r="L29" s="67">
        <f t="shared" si="5"/>
        <v>0</v>
      </c>
      <c r="M29" s="67">
        <f t="shared" si="6"/>
        <v>0</v>
      </c>
      <c r="N29" s="533" t="str">
        <f t="shared" si="7"/>
        <v>-</v>
      </c>
      <c r="O29" s="67">
        <f t="shared" si="8"/>
        <v>0</v>
      </c>
      <c r="P29" s="187"/>
      <c r="Q29" s="67">
        <f t="shared" si="9"/>
        <v>0</v>
      </c>
      <c r="R29" s="67">
        <f t="shared" si="9"/>
        <v>0</v>
      </c>
      <c r="S29" s="67">
        <f t="shared" si="10"/>
        <v>0</v>
      </c>
      <c r="T29" s="67">
        <f t="shared" si="11"/>
        <v>0</v>
      </c>
      <c r="U29" s="67">
        <f t="shared" si="11"/>
        <v>0</v>
      </c>
      <c r="V29" s="67">
        <f t="shared" si="11"/>
        <v>0</v>
      </c>
      <c r="W29" s="67">
        <f t="shared" si="11"/>
        <v>0</v>
      </c>
      <c r="X29" s="67">
        <f t="shared" si="11"/>
        <v>0</v>
      </c>
      <c r="Y29" s="67">
        <f t="shared" si="11"/>
        <v>0</v>
      </c>
      <c r="Z29" s="1208"/>
      <c r="AA29" s="1201">
        <f t="shared" si="13"/>
        <v>0</v>
      </c>
      <c r="AB29" s="67">
        <f t="shared" si="13"/>
        <v>0</v>
      </c>
      <c r="AC29" s="67">
        <f t="shared" si="13"/>
        <v>0</v>
      </c>
      <c r="AD29" s="67">
        <f t="shared" si="13"/>
        <v>0</v>
      </c>
      <c r="AE29" s="67">
        <f t="shared" si="13"/>
        <v>0</v>
      </c>
      <c r="AF29" s="67">
        <f t="shared" si="13"/>
        <v>0</v>
      </c>
      <c r="AG29" s="67">
        <f t="shared" si="13"/>
        <v>0</v>
      </c>
      <c r="AH29" s="67">
        <f t="shared" si="13"/>
        <v>0</v>
      </c>
      <c r="AI29" s="67">
        <f t="shared" si="13"/>
        <v>0</v>
      </c>
      <c r="AJ29" s="187"/>
      <c r="AK29" s="77"/>
    </row>
    <row r="30" spans="2:37" x14ac:dyDescent="0.2">
      <c r="B30" s="75"/>
      <c r="C30" s="187"/>
      <c r="D30" s="150"/>
      <c r="E30" s="150"/>
      <c r="F30" s="151"/>
      <c r="G30" s="66"/>
      <c r="H30" s="151"/>
      <c r="I30" s="151"/>
      <c r="J30" s="187"/>
      <c r="K30" s="70">
        <f t="shared" si="4"/>
        <v>0</v>
      </c>
      <c r="L30" s="67">
        <f t="shared" si="5"/>
        <v>0</v>
      </c>
      <c r="M30" s="67">
        <f t="shared" si="6"/>
        <v>0</v>
      </c>
      <c r="N30" s="533" t="str">
        <f t="shared" si="7"/>
        <v>-</v>
      </c>
      <c r="O30" s="67">
        <f t="shared" si="8"/>
        <v>0</v>
      </c>
      <c r="P30" s="187"/>
      <c r="Q30" s="67">
        <f t="shared" si="9"/>
        <v>0</v>
      </c>
      <c r="R30" s="67">
        <f t="shared" si="9"/>
        <v>0</v>
      </c>
      <c r="S30" s="67">
        <f t="shared" si="10"/>
        <v>0</v>
      </c>
      <c r="T30" s="67">
        <f t="shared" si="11"/>
        <v>0</v>
      </c>
      <c r="U30" s="67">
        <f t="shared" si="11"/>
        <v>0</v>
      </c>
      <c r="V30" s="67">
        <f t="shared" si="11"/>
        <v>0</v>
      </c>
      <c r="W30" s="67">
        <f t="shared" si="11"/>
        <v>0</v>
      </c>
      <c r="X30" s="67">
        <f t="shared" si="11"/>
        <v>0</v>
      </c>
      <c r="Y30" s="67">
        <f t="shared" si="11"/>
        <v>0</v>
      </c>
      <c r="Z30" s="1208"/>
      <c r="AA30" s="1201">
        <f t="shared" si="13"/>
        <v>0</v>
      </c>
      <c r="AB30" s="67">
        <f t="shared" si="13"/>
        <v>0</v>
      </c>
      <c r="AC30" s="67">
        <f t="shared" si="13"/>
        <v>0</v>
      </c>
      <c r="AD30" s="67">
        <f t="shared" si="13"/>
        <v>0</v>
      </c>
      <c r="AE30" s="67">
        <f t="shared" si="13"/>
        <v>0</v>
      </c>
      <c r="AF30" s="67">
        <f t="shared" si="13"/>
        <v>0</v>
      </c>
      <c r="AG30" s="67">
        <f t="shared" si="13"/>
        <v>0</v>
      </c>
      <c r="AH30" s="67">
        <f t="shared" si="13"/>
        <v>0</v>
      </c>
      <c r="AI30" s="67">
        <f t="shared" si="13"/>
        <v>0</v>
      </c>
      <c r="AJ30" s="187"/>
      <c r="AK30" s="77"/>
    </row>
    <row r="31" spans="2:37" x14ac:dyDescent="0.2">
      <c r="B31" s="75"/>
      <c r="C31" s="187"/>
      <c r="D31" s="150"/>
      <c r="E31" s="150"/>
      <c r="F31" s="151"/>
      <c r="G31" s="66"/>
      <c r="H31" s="151"/>
      <c r="I31" s="151"/>
      <c r="J31" s="187"/>
      <c r="K31" s="70">
        <f t="shared" si="4"/>
        <v>0</v>
      </c>
      <c r="L31" s="67">
        <f t="shared" si="5"/>
        <v>0</v>
      </c>
      <c r="M31" s="67">
        <f t="shared" si="6"/>
        <v>0</v>
      </c>
      <c r="N31" s="533" t="str">
        <f t="shared" si="7"/>
        <v>-</v>
      </c>
      <c r="O31" s="67">
        <f t="shared" si="8"/>
        <v>0</v>
      </c>
      <c r="P31" s="187"/>
      <c r="Q31" s="67">
        <f t="shared" si="9"/>
        <v>0</v>
      </c>
      <c r="R31" s="67">
        <f t="shared" si="9"/>
        <v>0</v>
      </c>
      <c r="S31" s="67">
        <f t="shared" si="10"/>
        <v>0</v>
      </c>
      <c r="T31" s="67">
        <f t="shared" si="11"/>
        <v>0</v>
      </c>
      <c r="U31" s="67">
        <f t="shared" si="11"/>
        <v>0</v>
      </c>
      <c r="V31" s="67">
        <f t="shared" si="11"/>
        <v>0</v>
      </c>
      <c r="W31" s="67">
        <f t="shared" si="11"/>
        <v>0</v>
      </c>
      <c r="X31" s="67">
        <f t="shared" si="11"/>
        <v>0</v>
      </c>
      <c r="Y31" s="67">
        <f t="shared" si="11"/>
        <v>0</v>
      </c>
      <c r="Z31" s="1208"/>
      <c r="AA31" s="1201">
        <f t="shared" si="13"/>
        <v>0</v>
      </c>
      <c r="AB31" s="67">
        <f t="shared" si="13"/>
        <v>0</v>
      </c>
      <c r="AC31" s="67">
        <f t="shared" si="13"/>
        <v>0</v>
      </c>
      <c r="AD31" s="67">
        <f t="shared" si="13"/>
        <v>0</v>
      </c>
      <c r="AE31" s="67">
        <f t="shared" si="13"/>
        <v>0</v>
      </c>
      <c r="AF31" s="67">
        <f t="shared" si="13"/>
        <v>0</v>
      </c>
      <c r="AG31" s="67">
        <f t="shared" si="13"/>
        <v>0</v>
      </c>
      <c r="AH31" s="67">
        <f t="shared" si="13"/>
        <v>0</v>
      </c>
      <c r="AI31" s="67">
        <f t="shared" si="13"/>
        <v>0</v>
      </c>
      <c r="AJ31" s="187"/>
      <c r="AK31" s="77"/>
    </row>
    <row r="32" spans="2:37" x14ac:dyDescent="0.2">
      <c r="B32" s="75"/>
      <c r="C32" s="187"/>
      <c r="D32" s="150"/>
      <c r="E32" s="150"/>
      <c r="F32" s="151"/>
      <c r="G32" s="66"/>
      <c r="H32" s="151"/>
      <c r="I32" s="151"/>
      <c r="J32" s="187"/>
      <c r="K32" s="70">
        <f t="shared" si="4"/>
        <v>0</v>
      </c>
      <c r="L32" s="67">
        <f t="shared" si="5"/>
        <v>0</v>
      </c>
      <c r="M32" s="67">
        <f t="shared" si="6"/>
        <v>0</v>
      </c>
      <c r="N32" s="533" t="str">
        <f t="shared" si="7"/>
        <v>-</v>
      </c>
      <c r="O32" s="67">
        <f t="shared" si="8"/>
        <v>0</v>
      </c>
      <c r="P32" s="187"/>
      <c r="Q32" s="67">
        <f t="shared" si="9"/>
        <v>0</v>
      </c>
      <c r="R32" s="67">
        <f t="shared" si="9"/>
        <v>0</v>
      </c>
      <c r="S32" s="67">
        <f t="shared" si="10"/>
        <v>0</v>
      </c>
      <c r="T32" s="67">
        <f t="shared" si="11"/>
        <v>0</v>
      </c>
      <c r="U32" s="67">
        <f t="shared" si="11"/>
        <v>0</v>
      </c>
      <c r="V32" s="67">
        <f t="shared" si="11"/>
        <v>0</v>
      </c>
      <c r="W32" s="67">
        <f t="shared" si="11"/>
        <v>0</v>
      </c>
      <c r="X32" s="67">
        <f t="shared" si="11"/>
        <v>0</v>
      </c>
      <c r="Y32" s="67">
        <f t="shared" si="11"/>
        <v>0</v>
      </c>
      <c r="Z32" s="1208"/>
      <c r="AA32" s="1201">
        <f t="shared" si="13"/>
        <v>0</v>
      </c>
      <c r="AB32" s="67">
        <f t="shared" si="13"/>
        <v>0</v>
      </c>
      <c r="AC32" s="67">
        <f t="shared" si="13"/>
        <v>0</v>
      </c>
      <c r="AD32" s="67">
        <f t="shared" si="13"/>
        <v>0</v>
      </c>
      <c r="AE32" s="67">
        <f t="shared" si="13"/>
        <v>0</v>
      </c>
      <c r="AF32" s="67">
        <f t="shared" si="13"/>
        <v>0</v>
      </c>
      <c r="AG32" s="67">
        <f t="shared" si="13"/>
        <v>0</v>
      </c>
      <c r="AH32" s="67">
        <f t="shared" si="13"/>
        <v>0</v>
      </c>
      <c r="AI32" s="67">
        <f t="shared" si="13"/>
        <v>0</v>
      </c>
      <c r="AJ32" s="187"/>
      <c r="AK32" s="77"/>
    </row>
    <row r="33" spans="2:37" x14ac:dyDescent="0.2">
      <c r="B33" s="75"/>
      <c r="C33" s="187"/>
      <c r="D33" s="150"/>
      <c r="E33" s="150"/>
      <c r="F33" s="151"/>
      <c r="G33" s="66"/>
      <c r="H33" s="151"/>
      <c r="I33" s="151"/>
      <c r="J33" s="187"/>
      <c r="K33" s="70">
        <f t="shared" si="4"/>
        <v>0</v>
      </c>
      <c r="L33" s="67">
        <f t="shared" si="5"/>
        <v>0</v>
      </c>
      <c r="M33" s="67">
        <f t="shared" si="6"/>
        <v>0</v>
      </c>
      <c r="N33" s="533" t="str">
        <f t="shared" si="7"/>
        <v>-</v>
      </c>
      <c r="O33" s="67">
        <f t="shared" si="8"/>
        <v>0</v>
      </c>
      <c r="P33" s="187"/>
      <c r="Q33" s="67">
        <f t="shared" si="9"/>
        <v>0</v>
      </c>
      <c r="R33" s="67">
        <f t="shared" si="9"/>
        <v>0</v>
      </c>
      <c r="S33" s="67">
        <f t="shared" si="10"/>
        <v>0</v>
      </c>
      <c r="T33" s="67">
        <f t="shared" si="11"/>
        <v>0</v>
      </c>
      <c r="U33" s="67">
        <f t="shared" si="11"/>
        <v>0</v>
      </c>
      <c r="V33" s="67">
        <f t="shared" si="11"/>
        <v>0</v>
      </c>
      <c r="W33" s="67">
        <f t="shared" si="11"/>
        <v>0</v>
      </c>
      <c r="X33" s="67">
        <f t="shared" si="11"/>
        <v>0</v>
      </c>
      <c r="Y33" s="67">
        <f t="shared" si="11"/>
        <v>0</v>
      </c>
      <c r="Z33" s="1208"/>
      <c r="AA33" s="1201">
        <f t="shared" si="13"/>
        <v>0</v>
      </c>
      <c r="AB33" s="67">
        <f t="shared" si="13"/>
        <v>0</v>
      </c>
      <c r="AC33" s="67">
        <f t="shared" si="13"/>
        <v>0</v>
      </c>
      <c r="AD33" s="67">
        <f t="shared" si="13"/>
        <v>0</v>
      </c>
      <c r="AE33" s="67">
        <f t="shared" si="13"/>
        <v>0</v>
      </c>
      <c r="AF33" s="67">
        <f t="shared" si="13"/>
        <v>0</v>
      </c>
      <c r="AG33" s="67">
        <f t="shared" si="13"/>
        <v>0</v>
      </c>
      <c r="AH33" s="67">
        <f t="shared" si="13"/>
        <v>0</v>
      </c>
      <c r="AI33" s="67">
        <f t="shared" si="13"/>
        <v>0</v>
      </c>
      <c r="AJ33" s="187"/>
      <c r="AK33" s="77"/>
    </row>
    <row r="34" spans="2:37" x14ac:dyDescent="0.2">
      <c r="B34" s="75"/>
      <c r="C34" s="187"/>
      <c r="D34" s="150"/>
      <c r="E34" s="150"/>
      <c r="F34" s="151"/>
      <c r="G34" s="66"/>
      <c r="H34" s="151"/>
      <c r="I34" s="151"/>
      <c r="J34" s="187"/>
      <c r="K34" s="70">
        <f t="shared" si="4"/>
        <v>0</v>
      </c>
      <c r="L34" s="67">
        <f t="shared" si="5"/>
        <v>0</v>
      </c>
      <c r="M34" s="67">
        <f t="shared" si="6"/>
        <v>0</v>
      </c>
      <c r="N34" s="533" t="str">
        <f t="shared" si="7"/>
        <v>-</v>
      </c>
      <c r="O34" s="67">
        <f t="shared" si="8"/>
        <v>0</v>
      </c>
      <c r="P34" s="187"/>
      <c r="Q34" s="67">
        <f t="shared" ref="Q34:R53" si="14">(IF(Q$8&lt;$H34,0,IF($N34&lt;=Q$8-1,0,$M34)))</f>
        <v>0</v>
      </c>
      <c r="R34" s="67">
        <f t="shared" si="14"/>
        <v>0</v>
      </c>
      <c r="S34" s="67">
        <f t="shared" si="10"/>
        <v>0</v>
      </c>
      <c r="T34" s="67">
        <f t="shared" ref="T34:Y53" si="15">(IF(T$8&lt;$H34,0,IF($N34&lt;=T$8-1,0,$M34)))</f>
        <v>0</v>
      </c>
      <c r="U34" s="67">
        <f t="shared" si="15"/>
        <v>0</v>
      </c>
      <c r="V34" s="67">
        <f t="shared" si="15"/>
        <v>0</v>
      </c>
      <c r="W34" s="67">
        <f t="shared" si="15"/>
        <v>0</v>
      </c>
      <c r="X34" s="67">
        <f t="shared" si="15"/>
        <v>0</v>
      </c>
      <c r="Y34" s="67">
        <f t="shared" si="15"/>
        <v>0</v>
      </c>
      <c r="Z34" s="1208"/>
      <c r="AA34" s="1201">
        <f t="shared" ref="AA34:AI43" si="16">IF(AA$8=$H34,($F34*$G34),0)</f>
        <v>0</v>
      </c>
      <c r="AB34" s="67">
        <f t="shared" si="16"/>
        <v>0</v>
      </c>
      <c r="AC34" s="67">
        <f t="shared" si="16"/>
        <v>0</v>
      </c>
      <c r="AD34" s="67">
        <f t="shared" si="16"/>
        <v>0</v>
      </c>
      <c r="AE34" s="67">
        <f t="shared" si="16"/>
        <v>0</v>
      </c>
      <c r="AF34" s="67">
        <f t="shared" si="16"/>
        <v>0</v>
      </c>
      <c r="AG34" s="67">
        <f t="shared" si="16"/>
        <v>0</v>
      </c>
      <c r="AH34" s="67">
        <f t="shared" si="16"/>
        <v>0</v>
      </c>
      <c r="AI34" s="67">
        <f t="shared" si="16"/>
        <v>0</v>
      </c>
      <c r="AJ34" s="187"/>
      <c r="AK34" s="77"/>
    </row>
    <row r="35" spans="2:37" x14ac:dyDescent="0.2">
      <c r="B35" s="75"/>
      <c r="C35" s="187"/>
      <c r="D35" s="150"/>
      <c r="E35" s="150"/>
      <c r="F35" s="151"/>
      <c r="G35" s="66"/>
      <c r="H35" s="151"/>
      <c r="I35" s="151"/>
      <c r="J35" s="187"/>
      <c r="K35" s="70">
        <f t="shared" si="4"/>
        <v>0</v>
      </c>
      <c r="L35" s="67">
        <f t="shared" si="5"/>
        <v>0</v>
      </c>
      <c r="M35" s="67">
        <f t="shared" si="6"/>
        <v>0</v>
      </c>
      <c r="N35" s="533" t="str">
        <f t="shared" si="7"/>
        <v>-</v>
      </c>
      <c r="O35" s="67">
        <f t="shared" si="8"/>
        <v>0</v>
      </c>
      <c r="P35" s="187"/>
      <c r="Q35" s="67">
        <f t="shared" si="14"/>
        <v>0</v>
      </c>
      <c r="R35" s="67">
        <f t="shared" si="14"/>
        <v>0</v>
      </c>
      <c r="S35" s="67">
        <f t="shared" si="10"/>
        <v>0</v>
      </c>
      <c r="T35" s="67">
        <f t="shared" si="15"/>
        <v>0</v>
      </c>
      <c r="U35" s="67">
        <f t="shared" si="15"/>
        <v>0</v>
      </c>
      <c r="V35" s="67">
        <f t="shared" si="15"/>
        <v>0</v>
      </c>
      <c r="W35" s="67">
        <f t="shared" si="15"/>
        <v>0</v>
      </c>
      <c r="X35" s="67">
        <f t="shared" si="15"/>
        <v>0</v>
      </c>
      <c r="Y35" s="67">
        <f t="shared" si="15"/>
        <v>0</v>
      </c>
      <c r="Z35" s="1208"/>
      <c r="AA35" s="1201">
        <f t="shared" si="16"/>
        <v>0</v>
      </c>
      <c r="AB35" s="67">
        <f t="shared" si="16"/>
        <v>0</v>
      </c>
      <c r="AC35" s="67">
        <f t="shared" si="16"/>
        <v>0</v>
      </c>
      <c r="AD35" s="67">
        <f t="shared" si="16"/>
        <v>0</v>
      </c>
      <c r="AE35" s="67">
        <f t="shared" si="16"/>
        <v>0</v>
      </c>
      <c r="AF35" s="67">
        <f t="shared" si="16"/>
        <v>0</v>
      </c>
      <c r="AG35" s="67">
        <f t="shared" si="16"/>
        <v>0</v>
      </c>
      <c r="AH35" s="67">
        <f t="shared" si="16"/>
        <v>0</v>
      </c>
      <c r="AI35" s="67">
        <f t="shared" si="16"/>
        <v>0</v>
      </c>
      <c r="AJ35" s="187"/>
      <c r="AK35" s="77"/>
    </row>
    <row r="36" spans="2:37" x14ac:dyDescent="0.2">
      <c r="B36" s="75"/>
      <c r="C36" s="187"/>
      <c r="D36" s="150"/>
      <c r="E36" s="150"/>
      <c r="F36" s="151"/>
      <c r="G36" s="66"/>
      <c r="H36" s="151"/>
      <c r="I36" s="151"/>
      <c r="J36" s="187"/>
      <c r="K36" s="70">
        <f t="shared" si="4"/>
        <v>0</v>
      </c>
      <c r="L36" s="67">
        <f t="shared" si="5"/>
        <v>0</v>
      </c>
      <c r="M36" s="67">
        <f t="shared" si="6"/>
        <v>0</v>
      </c>
      <c r="N36" s="533" t="str">
        <f t="shared" si="7"/>
        <v>-</v>
      </c>
      <c r="O36" s="67">
        <f t="shared" si="8"/>
        <v>0</v>
      </c>
      <c r="P36" s="187"/>
      <c r="Q36" s="67">
        <f t="shared" si="14"/>
        <v>0</v>
      </c>
      <c r="R36" s="67">
        <f t="shared" si="14"/>
        <v>0</v>
      </c>
      <c r="S36" s="67">
        <f t="shared" si="10"/>
        <v>0</v>
      </c>
      <c r="T36" s="67">
        <f t="shared" si="15"/>
        <v>0</v>
      </c>
      <c r="U36" s="67">
        <f t="shared" si="15"/>
        <v>0</v>
      </c>
      <c r="V36" s="67">
        <f t="shared" si="15"/>
        <v>0</v>
      </c>
      <c r="W36" s="67">
        <f t="shared" si="15"/>
        <v>0</v>
      </c>
      <c r="X36" s="67">
        <f t="shared" si="15"/>
        <v>0</v>
      </c>
      <c r="Y36" s="67">
        <f t="shared" si="15"/>
        <v>0</v>
      </c>
      <c r="Z36" s="1208"/>
      <c r="AA36" s="1201">
        <f t="shared" si="16"/>
        <v>0</v>
      </c>
      <c r="AB36" s="67">
        <f t="shared" si="16"/>
        <v>0</v>
      </c>
      <c r="AC36" s="67">
        <f t="shared" si="16"/>
        <v>0</v>
      </c>
      <c r="AD36" s="67">
        <f t="shared" si="16"/>
        <v>0</v>
      </c>
      <c r="AE36" s="67">
        <f t="shared" si="16"/>
        <v>0</v>
      </c>
      <c r="AF36" s="67">
        <f t="shared" si="16"/>
        <v>0</v>
      </c>
      <c r="AG36" s="67">
        <f t="shared" si="16"/>
        <v>0</v>
      </c>
      <c r="AH36" s="67">
        <f t="shared" si="16"/>
        <v>0</v>
      </c>
      <c r="AI36" s="67">
        <f t="shared" si="16"/>
        <v>0</v>
      </c>
      <c r="AJ36" s="187"/>
      <c r="AK36" s="77"/>
    </row>
    <row r="37" spans="2:37" x14ac:dyDescent="0.2">
      <c r="B37" s="75"/>
      <c r="C37" s="187"/>
      <c r="D37" s="150"/>
      <c r="E37" s="150"/>
      <c r="F37" s="151"/>
      <c r="G37" s="66"/>
      <c r="H37" s="151"/>
      <c r="I37" s="151"/>
      <c r="J37" s="187"/>
      <c r="K37" s="70">
        <f t="shared" si="4"/>
        <v>0</v>
      </c>
      <c r="L37" s="67">
        <f t="shared" si="5"/>
        <v>0</v>
      </c>
      <c r="M37" s="67">
        <f t="shared" si="6"/>
        <v>0</v>
      </c>
      <c r="N37" s="533" t="str">
        <f t="shared" si="7"/>
        <v>-</v>
      </c>
      <c r="O37" s="67">
        <f t="shared" si="8"/>
        <v>0</v>
      </c>
      <c r="P37" s="187"/>
      <c r="Q37" s="67">
        <f t="shared" si="14"/>
        <v>0</v>
      </c>
      <c r="R37" s="67">
        <f t="shared" si="14"/>
        <v>0</v>
      </c>
      <c r="S37" s="67">
        <f t="shared" si="10"/>
        <v>0</v>
      </c>
      <c r="T37" s="67">
        <f t="shared" si="15"/>
        <v>0</v>
      </c>
      <c r="U37" s="67">
        <f t="shared" si="15"/>
        <v>0</v>
      </c>
      <c r="V37" s="67">
        <f t="shared" si="15"/>
        <v>0</v>
      </c>
      <c r="W37" s="67">
        <f t="shared" si="15"/>
        <v>0</v>
      </c>
      <c r="X37" s="67">
        <f t="shared" si="15"/>
        <v>0</v>
      </c>
      <c r="Y37" s="67">
        <f t="shared" si="15"/>
        <v>0</v>
      </c>
      <c r="Z37" s="1208"/>
      <c r="AA37" s="1201">
        <f t="shared" si="16"/>
        <v>0</v>
      </c>
      <c r="AB37" s="67">
        <f t="shared" si="16"/>
        <v>0</v>
      </c>
      <c r="AC37" s="67">
        <f t="shared" si="16"/>
        <v>0</v>
      </c>
      <c r="AD37" s="67">
        <f t="shared" si="16"/>
        <v>0</v>
      </c>
      <c r="AE37" s="67">
        <f t="shared" si="16"/>
        <v>0</v>
      </c>
      <c r="AF37" s="67">
        <f t="shared" si="16"/>
        <v>0</v>
      </c>
      <c r="AG37" s="67">
        <f t="shared" si="16"/>
        <v>0</v>
      </c>
      <c r="AH37" s="67">
        <f t="shared" si="16"/>
        <v>0</v>
      </c>
      <c r="AI37" s="67">
        <f t="shared" si="16"/>
        <v>0</v>
      </c>
      <c r="AJ37" s="187"/>
      <c r="AK37" s="77"/>
    </row>
    <row r="38" spans="2:37" x14ac:dyDescent="0.2">
      <c r="B38" s="75"/>
      <c r="C38" s="187"/>
      <c r="D38" s="150"/>
      <c r="E38" s="150"/>
      <c r="F38" s="151"/>
      <c r="G38" s="66"/>
      <c r="H38" s="151"/>
      <c r="I38" s="151"/>
      <c r="J38" s="187"/>
      <c r="K38" s="70">
        <f t="shared" si="4"/>
        <v>0</v>
      </c>
      <c r="L38" s="67">
        <f t="shared" si="5"/>
        <v>0</v>
      </c>
      <c r="M38" s="67">
        <f t="shared" si="6"/>
        <v>0</v>
      </c>
      <c r="N38" s="533" t="str">
        <f t="shared" si="7"/>
        <v>-</v>
      </c>
      <c r="O38" s="67">
        <f t="shared" si="8"/>
        <v>0</v>
      </c>
      <c r="P38" s="187"/>
      <c r="Q38" s="67">
        <f t="shared" si="14"/>
        <v>0</v>
      </c>
      <c r="R38" s="67">
        <f t="shared" si="14"/>
        <v>0</v>
      </c>
      <c r="S38" s="67">
        <f t="shared" si="10"/>
        <v>0</v>
      </c>
      <c r="T38" s="67">
        <f t="shared" si="15"/>
        <v>0</v>
      </c>
      <c r="U38" s="67">
        <f t="shared" si="15"/>
        <v>0</v>
      </c>
      <c r="V38" s="67">
        <f t="shared" si="15"/>
        <v>0</v>
      </c>
      <c r="W38" s="67">
        <f t="shared" si="15"/>
        <v>0</v>
      </c>
      <c r="X38" s="67">
        <f t="shared" si="15"/>
        <v>0</v>
      </c>
      <c r="Y38" s="67">
        <f t="shared" si="15"/>
        <v>0</v>
      </c>
      <c r="Z38" s="1208"/>
      <c r="AA38" s="1201">
        <f t="shared" si="16"/>
        <v>0</v>
      </c>
      <c r="AB38" s="67">
        <f t="shared" si="16"/>
        <v>0</v>
      </c>
      <c r="AC38" s="67">
        <f t="shared" si="16"/>
        <v>0</v>
      </c>
      <c r="AD38" s="67">
        <f t="shared" si="16"/>
        <v>0</v>
      </c>
      <c r="AE38" s="67">
        <f t="shared" si="16"/>
        <v>0</v>
      </c>
      <c r="AF38" s="67">
        <f t="shared" si="16"/>
        <v>0</v>
      </c>
      <c r="AG38" s="67">
        <f t="shared" si="16"/>
        <v>0</v>
      </c>
      <c r="AH38" s="67">
        <f t="shared" si="16"/>
        <v>0</v>
      </c>
      <c r="AI38" s="67">
        <f t="shared" si="16"/>
        <v>0</v>
      </c>
      <c r="AJ38" s="187"/>
      <c r="AK38" s="77"/>
    </row>
    <row r="39" spans="2:37" x14ac:dyDescent="0.2">
      <c r="B39" s="75"/>
      <c r="C39" s="187"/>
      <c r="D39" s="150"/>
      <c r="E39" s="150"/>
      <c r="F39" s="151"/>
      <c r="G39" s="66"/>
      <c r="H39" s="151"/>
      <c r="I39" s="151"/>
      <c r="J39" s="187"/>
      <c r="K39" s="70">
        <f t="shared" si="4"/>
        <v>0</v>
      </c>
      <c r="L39" s="67">
        <f t="shared" si="5"/>
        <v>0</v>
      </c>
      <c r="M39" s="67">
        <f t="shared" si="6"/>
        <v>0</v>
      </c>
      <c r="N39" s="533" t="str">
        <f t="shared" si="7"/>
        <v>-</v>
      </c>
      <c r="O39" s="67">
        <f t="shared" si="8"/>
        <v>0</v>
      </c>
      <c r="P39" s="187"/>
      <c r="Q39" s="67">
        <f t="shared" si="14"/>
        <v>0</v>
      </c>
      <c r="R39" s="67">
        <f t="shared" si="14"/>
        <v>0</v>
      </c>
      <c r="S39" s="67">
        <f t="shared" si="10"/>
        <v>0</v>
      </c>
      <c r="T39" s="67">
        <f t="shared" si="15"/>
        <v>0</v>
      </c>
      <c r="U39" s="67">
        <f t="shared" si="15"/>
        <v>0</v>
      </c>
      <c r="V39" s="67">
        <f t="shared" si="15"/>
        <v>0</v>
      </c>
      <c r="W39" s="67">
        <f t="shared" si="15"/>
        <v>0</v>
      </c>
      <c r="X39" s="67">
        <f t="shared" si="15"/>
        <v>0</v>
      </c>
      <c r="Y39" s="67">
        <f t="shared" si="15"/>
        <v>0</v>
      </c>
      <c r="Z39" s="1208"/>
      <c r="AA39" s="1201">
        <f t="shared" si="16"/>
        <v>0</v>
      </c>
      <c r="AB39" s="67">
        <f t="shared" si="16"/>
        <v>0</v>
      </c>
      <c r="AC39" s="67">
        <f t="shared" si="16"/>
        <v>0</v>
      </c>
      <c r="AD39" s="67">
        <f t="shared" si="16"/>
        <v>0</v>
      </c>
      <c r="AE39" s="67">
        <f t="shared" si="16"/>
        <v>0</v>
      </c>
      <c r="AF39" s="67">
        <f t="shared" si="16"/>
        <v>0</v>
      </c>
      <c r="AG39" s="67">
        <f t="shared" si="16"/>
        <v>0</v>
      </c>
      <c r="AH39" s="67">
        <f t="shared" si="16"/>
        <v>0</v>
      </c>
      <c r="AI39" s="67">
        <f t="shared" si="16"/>
        <v>0</v>
      </c>
      <c r="AJ39" s="187"/>
      <c r="AK39" s="77"/>
    </row>
    <row r="40" spans="2:37" x14ac:dyDescent="0.2">
      <c r="B40" s="75"/>
      <c r="C40" s="187"/>
      <c r="D40" s="150"/>
      <c r="E40" s="150"/>
      <c r="F40" s="151"/>
      <c r="G40" s="66"/>
      <c r="H40" s="151"/>
      <c r="I40" s="151"/>
      <c r="J40" s="187"/>
      <c r="K40" s="70">
        <f t="shared" si="4"/>
        <v>0</v>
      </c>
      <c r="L40" s="67">
        <f t="shared" si="5"/>
        <v>0</v>
      </c>
      <c r="M40" s="67">
        <f t="shared" si="6"/>
        <v>0</v>
      </c>
      <c r="N40" s="533" t="str">
        <f t="shared" si="7"/>
        <v>-</v>
      </c>
      <c r="O40" s="67">
        <f t="shared" si="8"/>
        <v>0</v>
      </c>
      <c r="P40" s="187"/>
      <c r="Q40" s="67">
        <f t="shared" si="14"/>
        <v>0</v>
      </c>
      <c r="R40" s="67">
        <f t="shared" si="14"/>
        <v>0</v>
      </c>
      <c r="S40" s="67">
        <f t="shared" si="10"/>
        <v>0</v>
      </c>
      <c r="T40" s="67">
        <f t="shared" si="15"/>
        <v>0</v>
      </c>
      <c r="U40" s="67">
        <f t="shared" si="15"/>
        <v>0</v>
      </c>
      <c r="V40" s="67">
        <f t="shared" si="15"/>
        <v>0</v>
      </c>
      <c r="W40" s="67">
        <f t="shared" si="15"/>
        <v>0</v>
      </c>
      <c r="X40" s="67">
        <f t="shared" si="15"/>
        <v>0</v>
      </c>
      <c r="Y40" s="67">
        <f t="shared" si="15"/>
        <v>0</v>
      </c>
      <c r="Z40" s="1208"/>
      <c r="AA40" s="1201">
        <f t="shared" si="16"/>
        <v>0</v>
      </c>
      <c r="AB40" s="67">
        <f t="shared" si="16"/>
        <v>0</v>
      </c>
      <c r="AC40" s="67">
        <f t="shared" si="16"/>
        <v>0</v>
      </c>
      <c r="AD40" s="67">
        <f t="shared" si="16"/>
        <v>0</v>
      </c>
      <c r="AE40" s="67">
        <f t="shared" si="16"/>
        <v>0</v>
      </c>
      <c r="AF40" s="67">
        <f t="shared" si="16"/>
        <v>0</v>
      </c>
      <c r="AG40" s="67">
        <f t="shared" si="16"/>
        <v>0</v>
      </c>
      <c r="AH40" s="67">
        <f t="shared" si="16"/>
        <v>0</v>
      </c>
      <c r="AI40" s="67">
        <f t="shared" si="16"/>
        <v>0</v>
      </c>
      <c r="AJ40" s="187"/>
      <c r="AK40" s="77"/>
    </row>
    <row r="41" spans="2:37" x14ac:dyDescent="0.2">
      <c r="B41" s="75"/>
      <c r="C41" s="187"/>
      <c r="D41" s="150"/>
      <c r="E41" s="150"/>
      <c r="F41" s="151"/>
      <c r="G41" s="66"/>
      <c r="H41" s="151"/>
      <c r="I41" s="151"/>
      <c r="J41" s="187"/>
      <c r="K41" s="70">
        <f t="shared" si="4"/>
        <v>0</v>
      </c>
      <c r="L41" s="67">
        <f t="shared" si="5"/>
        <v>0</v>
      </c>
      <c r="M41" s="67">
        <f t="shared" si="6"/>
        <v>0</v>
      </c>
      <c r="N41" s="533" t="str">
        <f t="shared" si="7"/>
        <v>-</v>
      </c>
      <c r="O41" s="67">
        <f t="shared" si="8"/>
        <v>0</v>
      </c>
      <c r="P41" s="187"/>
      <c r="Q41" s="67">
        <f t="shared" si="14"/>
        <v>0</v>
      </c>
      <c r="R41" s="67">
        <f t="shared" si="14"/>
        <v>0</v>
      </c>
      <c r="S41" s="67">
        <f t="shared" si="10"/>
        <v>0</v>
      </c>
      <c r="T41" s="67">
        <f t="shared" si="15"/>
        <v>0</v>
      </c>
      <c r="U41" s="67">
        <f t="shared" si="15"/>
        <v>0</v>
      </c>
      <c r="V41" s="67">
        <f t="shared" si="15"/>
        <v>0</v>
      </c>
      <c r="W41" s="67">
        <f t="shared" si="15"/>
        <v>0</v>
      </c>
      <c r="X41" s="67">
        <f t="shared" si="15"/>
        <v>0</v>
      </c>
      <c r="Y41" s="67">
        <f t="shared" si="15"/>
        <v>0</v>
      </c>
      <c r="Z41" s="1208"/>
      <c r="AA41" s="1201">
        <f t="shared" si="16"/>
        <v>0</v>
      </c>
      <c r="AB41" s="67">
        <f t="shared" si="16"/>
        <v>0</v>
      </c>
      <c r="AC41" s="67">
        <f t="shared" si="16"/>
        <v>0</v>
      </c>
      <c r="AD41" s="67">
        <f t="shared" si="16"/>
        <v>0</v>
      </c>
      <c r="AE41" s="67">
        <f t="shared" si="16"/>
        <v>0</v>
      </c>
      <c r="AF41" s="67">
        <f t="shared" si="16"/>
        <v>0</v>
      </c>
      <c r="AG41" s="67">
        <f t="shared" si="16"/>
        <v>0</v>
      </c>
      <c r="AH41" s="67">
        <f t="shared" si="16"/>
        <v>0</v>
      </c>
      <c r="AI41" s="67">
        <f t="shared" si="16"/>
        <v>0</v>
      </c>
      <c r="AJ41" s="187"/>
      <c r="AK41" s="77"/>
    </row>
    <row r="42" spans="2:37" x14ac:dyDescent="0.2">
      <c r="B42" s="75"/>
      <c r="C42" s="187"/>
      <c r="D42" s="150"/>
      <c r="E42" s="150"/>
      <c r="F42" s="151"/>
      <c r="G42" s="66"/>
      <c r="H42" s="151"/>
      <c r="I42" s="151"/>
      <c r="J42" s="187"/>
      <c r="K42" s="70">
        <f t="shared" si="4"/>
        <v>0</v>
      </c>
      <c r="L42" s="67">
        <f t="shared" si="5"/>
        <v>0</v>
      </c>
      <c r="M42" s="67">
        <f t="shared" si="6"/>
        <v>0</v>
      </c>
      <c r="N42" s="533" t="str">
        <f t="shared" si="7"/>
        <v>-</v>
      </c>
      <c r="O42" s="67">
        <f t="shared" si="8"/>
        <v>0</v>
      </c>
      <c r="P42" s="187"/>
      <c r="Q42" s="67">
        <f t="shared" si="14"/>
        <v>0</v>
      </c>
      <c r="R42" s="67">
        <f t="shared" si="14"/>
        <v>0</v>
      </c>
      <c r="S42" s="67">
        <f t="shared" si="10"/>
        <v>0</v>
      </c>
      <c r="T42" s="67">
        <f t="shared" si="15"/>
        <v>0</v>
      </c>
      <c r="U42" s="67">
        <f t="shared" si="15"/>
        <v>0</v>
      </c>
      <c r="V42" s="67">
        <f t="shared" si="15"/>
        <v>0</v>
      </c>
      <c r="W42" s="67">
        <f t="shared" si="15"/>
        <v>0</v>
      </c>
      <c r="X42" s="67">
        <f t="shared" si="15"/>
        <v>0</v>
      </c>
      <c r="Y42" s="67">
        <f t="shared" si="15"/>
        <v>0</v>
      </c>
      <c r="Z42" s="1208"/>
      <c r="AA42" s="1201">
        <f t="shared" si="16"/>
        <v>0</v>
      </c>
      <c r="AB42" s="67">
        <f t="shared" si="16"/>
        <v>0</v>
      </c>
      <c r="AC42" s="67">
        <f t="shared" si="16"/>
        <v>0</v>
      </c>
      <c r="AD42" s="67">
        <f t="shared" si="16"/>
        <v>0</v>
      </c>
      <c r="AE42" s="67">
        <f t="shared" si="16"/>
        <v>0</v>
      </c>
      <c r="AF42" s="67">
        <f t="shared" si="16"/>
        <v>0</v>
      </c>
      <c r="AG42" s="67">
        <f t="shared" si="16"/>
        <v>0</v>
      </c>
      <c r="AH42" s="67">
        <f t="shared" si="16"/>
        <v>0</v>
      </c>
      <c r="AI42" s="67">
        <f t="shared" si="16"/>
        <v>0</v>
      </c>
      <c r="AJ42" s="187"/>
      <c r="AK42" s="77"/>
    </row>
    <row r="43" spans="2:37" x14ac:dyDescent="0.2">
      <c r="B43" s="75"/>
      <c r="C43" s="187"/>
      <c r="D43" s="150"/>
      <c r="E43" s="150"/>
      <c r="F43" s="151"/>
      <c r="G43" s="66"/>
      <c r="H43" s="151"/>
      <c r="I43" s="151"/>
      <c r="J43" s="187"/>
      <c r="K43" s="70">
        <f t="shared" si="4"/>
        <v>0</v>
      </c>
      <c r="L43" s="67">
        <f t="shared" si="5"/>
        <v>0</v>
      </c>
      <c r="M43" s="67">
        <f t="shared" si="6"/>
        <v>0</v>
      </c>
      <c r="N43" s="533" t="str">
        <f t="shared" si="7"/>
        <v>-</v>
      </c>
      <c r="O43" s="67">
        <f t="shared" si="8"/>
        <v>0</v>
      </c>
      <c r="P43" s="187"/>
      <c r="Q43" s="67">
        <f t="shared" si="14"/>
        <v>0</v>
      </c>
      <c r="R43" s="67">
        <f t="shared" si="14"/>
        <v>0</v>
      </c>
      <c r="S43" s="67">
        <f t="shared" si="10"/>
        <v>0</v>
      </c>
      <c r="T43" s="67">
        <f t="shared" si="15"/>
        <v>0</v>
      </c>
      <c r="U43" s="67">
        <f t="shared" si="15"/>
        <v>0</v>
      </c>
      <c r="V43" s="67">
        <f t="shared" si="15"/>
        <v>0</v>
      </c>
      <c r="W43" s="67">
        <f t="shared" si="15"/>
        <v>0</v>
      </c>
      <c r="X43" s="67">
        <f t="shared" si="15"/>
        <v>0</v>
      </c>
      <c r="Y43" s="67">
        <f t="shared" si="15"/>
        <v>0</v>
      </c>
      <c r="Z43" s="1208"/>
      <c r="AA43" s="1201">
        <f t="shared" si="16"/>
        <v>0</v>
      </c>
      <c r="AB43" s="67">
        <f t="shared" si="16"/>
        <v>0</v>
      </c>
      <c r="AC43" s="67">
        <f t="shared" si="16"/>
        <v>0</v>
      </c>
      <c r="AD43" s="67">
        <f t="shared" si="16"/>
        <v>0</v>
      </c>
      <c r="AE43" s="67">
        <f t="shared" si="16"/>
        <v>0</v>
      </c>
      <c r="AF43" s="67">
        <f t="shared" si="16"/>
        <v>0</v>
      </c>
      <c r="AG43" s="67">
        <f t="shared" si="16"/>
        <v>0</v>
      </c>
      <c r="AH43" s="67">
        <f t="shared" si="16"/>
        <v>0</v>
      </c>
      <c r="AI43" s="67">
        <f t="shared" si="16"/>
        <v>0</v>
      </c>
      <c r="AJ43" s="187"/>
      <c r="AK43" s="77"/>
    </row>
    <row r="44" spans="2:37" x14ac:dyDescent="0.2">
      <c r="B44" s="75"/>
      <c r="C44" s="187"/>
      <c r="D44" s="150"/>
      <c r="E44" s="150"/>
      <c r="F44" s="151"/>
      <c r="G44" s="66"/>
      <c r="H44" s="151"/>
      <c r="I44" s="151"/>
      <c r="J44" s="187"/>
      <c r="K44" s="70">
        <f t="shared" si="4"/>
        <v>0</v>
      </c>
      <c r="L44" s="67">
        <f t="shared" si="5"/>
        <v>0</v>
      </c>
      <c r="M44" s="67">
        <f t="shared" si="6"/>
        <v>0</v>
      </c>
      <c r="N44" s="533" t="str">
        <f t="shared" si="7"/>
        <v>-</v>
      </c>
      <c r="O44" s="67">
        <f t="shared" si="8"/>
        <v>0</v>
      </c>
      <c r="P44" s="187"/>
      <c r="Q44" s="67">
        <f t="shared" si="14"/>
        <v>0</v>
      </c>
      <c r="R44" s="67">
        <f t="shared" si="14"/>
        <v>0</v>
      </c>
      <c r="S44" s="67">
        <f t="shared" si="10"/>
        <v>0</v>
      </c>
      <c r="T44" s="67">
        <f t="shared" si="15"/>
        <v>0</v>
      </c>
      <c r="U44" s="67">
        <f t="shared" si="15"/>
        <v>0</v>
      </c>
      <c r="V44" s="67">
        <f t="shared" si="15"/>
        <v>0</v>
      </c>
      <c r="W44" s="67">
        <f t="shared" si="15"/>
        <v>0</v>
      </c>
      <c r="X44" s="67">
        <f t="shared" si="15"/>
        <v>0</v>
      </c>
      <c r="Y44" s="67">
        <f t="shared" si="15"/>
        <v>0</v>
      </c>
      <c r="Z44" s="1208"/>
      <c r="AA44" s="1201">
        <f t="shared" ref="AA44:AI53" si="17">IF(AA$8=$H44,($F44*$G44),0)</f>
        <v>0</v>
      </c>
      <c r="AB44" s="67">
        <f t="shared" si="17"/>
        <v>0</v>
      </c>
      <c r="AC44" s="67">
        <f t="shared" si="17"/>
        <v>0</v>
      </c>
      <c r="AD44" s="67">
        <f t="shared" si="17"/>
        <v>0</v>
      </c>
      <c r="AE44" s="67">
        <f t="shared" si="17"/>
        <v>0</v>
      </c>
      <c r="AF44" s="67">
        <f t="shared" si="17"/>
        <v>0</v>
      </c>
      <c r="AG44" s="67">
        <f t="shared" si="17"/>
        <v>0</v>
      </c>
      <c r="AH44" s="67">
        <f t="shared" si="17"/>
        <v>0</v>
      </c>
      <c r="AI44" s="67">
        <f t="shared" si="17"/>
        <v>0</v>
      </c>
      <c r="AJ44" s="187"/>
      <c r="AK44" s="77"/>
    </row>
    <row r="45" spans="2:37" x14ac:dyDescent="0.2">
      <c r="B45" s="75"/>
      <c r="C45" s="187"/>
      <c r="D45" s="150"/>
      <c r="E45" s="150"/>
      <c r="F45" s="151"/>
      <c r="G45" s="66"/>
      <c r="H45" s="151"/>
      <c r="I45" s="151"/>
      <c r="J45" s="187"/>
      <c r="K45" s="70">
        <f t="shared" si="4"/>
        <v>0</v>
      </c>
      <c r="L45" s="67">
        <f t="shared" si="5"/>
        <v>0</v>
      </c>
      <c r="M45" s="67">
        <f t="shared" si="6"/>
        <v>0</v>
      </c>
      <c r="N45" s="533" t="str">
        <f t="shared" si="7"/>
        <v>-</v>
      </c>
      <c r="O45" s="67">
        <f t="shared" si="8"/>
        <v>0</v>
      </c>
      <c r="P45" s="187"/>
      <c r="Q45" s="67">
        <f t="shared" si="14"/>
        <v>0</v>
      </c>
      <c r="R45" s="67">
        <f t="shared" si="14"/>
        <v>0</v>
      </c>
      <c r="S45" s="67">
        <f t="shared" si="10"/>
        <v>0</v>
      </c>
      <c r="T45" s="67">
        <f t="shared" si="15"/>
        <v>0</v>
      </c>
      <c r="U45" s="67">
        <f t="shared" si="15"/>
        <v>0</v>
      </c>
      <c r="V45" s="67">
        <f t="shared" si="15"/>
        <v>0</v>
      </c>
      <c r="W45" s="67">
        <f t="shared" si="15"/>
        <v>0</v>
      </c>
      <c r="X45" s="67">
        <f t="shared" si="15"/>
        <v>0</v>
      </c>
      <c r="Y45" s="67">
        <f t="shared" si="15"/>
        <v>0</v>
      </c>
      <c r="Z45" s="1208"/>
      <c r="AA45" s="1201">
        <f t="shared" si="17"/>
        <v>0</v>
      </c>
      <c r="AB45" s="67">
        <f t="shared" si="17"/>
        <v>0</v>
      </c>
      <c r="AC45" s="67">
        <f t="shared" si="17"/>
        <v>0</v>
      </c>
      <c r="AD45" s="67">
        <f t="shared" si="17"/>
        <v>0</v>
      </c>
      <c r="AE45" s="67">
        <f t="shared" si="17"/>
        <v>0</v>
      </c>
      <c r="AF45" s="67">
        <f t="shared" si="17"/>
        <v>0</v>
      </c>
      <c r="AG45" s="67">
        <f t="shared" si="17"/>
        <v>0</v>
      </c>
      <c r="AH45" s="67">
        <f t="shared" si="17"/>
        <v>0</v>
      </c>
      <c r="AI45" s="67">
        <f t="shared" si="17"/>
        <v>0</v>
      </c>
      <c r="AJ45" s="187"/>
      <c r="AK45" s="77"/>
    </row>
    <row r="46" spans="2:37" x14ac:dyDescent="0.2">
      <c r="B46" s="75"/>
      <c r="C46" s="187"/>
      <c r="D46" s="150"/>
      <c r="E46" s="150"/>
      <c r="F46" s="151"/>
      <c r="G46" s="66"/>
      <c r="H46" s="151"/>
      <c r="I46" s="151"/>
      <c r="J46" s="187"/>
      <c r="K46" s="70">
        <f t="shared" ref="K46:K70" si="18">IF(I46="geen",9999999999,I46)</f>
        <v>0</v>
      </c>
      <c r="L46" s="67">
        <f t="shared" ref="L46:L70" si="19">F46*G46</f>
        <v>0</v>
      </c>
      <c r="M46" s="67">
        <f t="shared" ref="M46:M70" si="20">IF(F46=0,0,(F46*G46)/K46)</f>
        <v>0</v>
      </c>
      <c r="N46" s="533" t="str">
        <f t="shared" ref="N46:N70" si="21">IF(K46=0,"-",(IF(K46&gt;3000,"-",H46+K46-1)))</f>
        <v>-</v>
      </c>
      <c r="O46" s="67">
        <f t="shared" ref="O46:O70" si="22">IF(I46="geen",IF(H46&lt;$Q$8,F46*G46,0),IF(H46&gt;=$Q$8,0,IF((G46*F46-(Q$8-H46)*M46)&lt;0,0,G46*F46-(Q$8-H46)*M46)))</f>
        <v>0</v>
      </c>
      <c r="P46" s="187"/>
      <c r="Q46" s="67">
        <f t="shared" si="14"/>
        <v>0</v>
      </c>
      <c r="R46" s="67">
        <f t="shared" si="14"/>
        <v>0</v>
      </c>
      <c r="S46" s="67">
        <f t="shared" ref="S46:S69" si="23">IF(S$8&lt;$H46,0,IF($N46&lt;=S$8-1,0,$M46))</f>
        <v>0</v>
      </c>
      <c r="T46" s="67">
        <f t="shared" si="15"/>
        <v>0</v>
      </c>
      <c r="U46" s="67">
        <f t="shared" si="15"/>
        <v>0</v>
      </c>
      <c r="V46" s="67">
        <f t="shared" si="15"/>
        <v>0</v>
      </c>
      <c r="W46" s="67">
        <f t="shared" si="15"/>
        <v>0</v>
      </c>
      <c r="X46" s="67">
        <f t="shared" si="15"/>
        <v>0</v>
      </c>
      <c r="Y46" s="67">
        <f t="shared" si="15"/>
        <v>0</v>
      </c>
      <c r="Z46" s="1208"/>
      <c r="AA46" s="1201">
        <f t="shared" si="17"/>
        <v>0</v>
      </c>
      <c r="AB46" s="67">
        <f t="shared" si="17"/>
        <v>0</v>
      </c>
      <c r="AC46" s="67">
        <f t="shared" si="17"/>
        <v>0</v>
      </c>
      <c r="AD46" s="67">
        <f t="shared" si="17"/>
        <v>0</v>
      </c>
      <c r="AE46" s="67">
        <f t="shared" si="17"/>
        <v>0</v>
      </c>
      <c r="AF46" s="67">
        <f t="shared" si="17"/>
        <v>0</v>
      </c>
      <c r="AG46" s="67">
        <f t="shared" si="17"/>
        <v>0</v>
      </c>
      <c r="AH46" s="67">
        <f t="shared" si="17"/>
        <v>0</v>
      </c>
      <c r="AI46" s="67">
        <f t="shared" si="17"/>
        <v>0</v>
      </c>
      <c r="AJ46" s="187"/>
      <c r="AK46" s="77"/>
    </row>
    <row r="47" spans="2:37" x14ac:dyDescent="0.2">
      <c r="B47" s="75"/>
      <c r="C47" s="187"/>
      <c r="D47" s="150"/>
      <c r="E47" s="150"/>
      <c r="F47" s="151"/>
      <c r="G47" s="66"/>
      <c r="H47" s="151"/>
      <c r="I47" s="151"/>
      <c r="J47" s="187"/>
      <c r="K47" s="70">
        <f t="shared" si="18"/>
        <v>0</v>
      </c>
      <c r="L47" s="67">
        <f t="shared" si="19"/>
        <v>0</v>
      </c>
      <c r="M47" s="67">
        <f t="shared" si="20"/>
        <v>0</v>
      </c>
      <c r="N47" s="533" t="str">
        <f t="shared" si="21"/>
        <v>-</v>
      </c>
      <c r="O47" s="67">
        <f t="shared" si="22"/>
        <v>0</v>
      </c>
      <c r="P47" s="187"/>
      <c r="Q47" s="67">
        <f t="shared" si="14"/>
        <v>0</v>
      </c>
      <c r="R47" s="67">
        <f t="shared" si="14"/>
        <v>0</v>
      </c>
      <c r="S47" s="67">
        <f t="shared" si="23"/>
        <v>0</v>
      </c>
      <c r="T47" s="67">
        <f t="shared" si="15"/>
        <v>0</v>
      </c>
      <c r="U47" s="67">
        <f t="shared" si="15"/>
        <v>0</v>
      </c>
      <c r="V47" s="67">
        <f t="shared" si="15"/>
        <v>0</v>
      </c>
      <c r="W47" s="67">
        <f t="shared" si="15"/>
        <v>0</v>
      </c>
      <c r="X47" s="67">
        <f t="shared" si="15"/>
        <v>0</v>
      </c>
      <c r="Y47" s="67">
        <f t="shared" si="15"/>
        <v>0</v>
      </c>
      <c r="Z47" s="1208"/>
      <c r="AA47" s="1201">
        <f t="shared" si="17"/>
        <v>0</v>
      </c>
      <c r="AB47" s="67">
        <f t="shared" si="17"/>
        <v>0</v>
      </c>
      <c r="AC47" s="67">
        <f t="shared" si="17"/>
        <v>0</v>
      </c>
      <c r="AD47" s="67">
        <f t="shared" si="17"/>
        <v>0</v>
      </c>
      <c r="AE47" s="67">
        <f t="shared" si="17"/>
        <v>0</v>
      </c>
      <c r="AF47" s="67">
        <f t="shared" si="17"/>
        <v>0</v>
      </c>
      <c r="AG47" s="67">
        <f t="shared" si="17"/>
        <v>0</v>
      </c>
      <c r="AH47" s="67">
        <f t="shared" si="17"/>
        <v>0</v>
      </c>
      <c r="AI47" s="67">
        <f t="shared" si="17"/>
        <v>0</v>
      </c>
      <c r="AJ47" s="187"/>
      <c r="AK47" s="77"/>
    </row>
    <row r="48" spans="2:37" x14ac:dyDescent="0.2">
      <c r="B48" s="75"/>
      <c r="C48" s="187"/>
      <c r="D48" s="150"/>
      <c r="E48" s="150"/>
      <c r="F48" s="151"/>
      <c r="G48" s="66"/>
      <c r="H48" s="151"/>
      <c r="I48" s="151"/>
      <c r="J48" s="187"/>
      <c r="K48" s="70">
        <f t="shared" si="18"/>
        <v>0</v>
      </c>
      <c r="L48" s="67">
        <f t="shared" si="19"/>
        <v>0</v>
      </c>
      <c r="M48" s="67">
        <f t="shared" si="20"/>
        <v>0</v>
      </c>
      <c r="N48" s="533" t="str">
        <f t="shared" si="21"/>
        <v>-</v>
      </c>
      <c r="O48" s="67">
        <f t="shared" si="22"/>
        <v>0</v>
      </c>
      <c r="P48" s="187"/>
      <c r="Q48" s="67">
        <f t="shared" si="14"/>
        <v>0</v>
      </c>
      <c r="R48" s="67">
        <f t="shared" si="14"/>
        <v>0</v>
      </c>
      <c r="S48" s="67">
        <f t="shared" si="23"/>
        <v>0</v>
      </c>
      <c r="T48" s="67">
        <f t="shared" si="15"/>
        <v>0</v>
      </c>
      <c r="U48" s="67">
        <f t="shared" si="15"/>
        <v>0</v>
      </c>
      <c r="V48" s="67">
        <f t="shared" si="15"/>
        <v>0</v>
      </c>
      <c r="W48" s="67">
        <f t="shared" si="15"/>
        <v>0</v>
      </c>
      <c r="X48" s="67">
        <f t="shared" si="15"/>
        <v>0</v>
      </c>
      <c r="Y48" s="67">
        <f t="shared" si="15"/>
        <v>0</v>
      </c>
      <c r="Z48" s="1208"/>
      <c r="AA48" s="1201">
        <f t="shared" si="17"/>
        <v>0</v>
      </c>
      <c r="AB48" s="67">
        <f t="shared" si="17"/>
        <v>0</v>
      </c>
      <c r="AC48" s="67">
        <f t="shared" si="17"/>
        <v>0</v>
      </c>
      <c r="AD48" s="67">
        <f t="shared" si="17"/>
        <v>0</v>
      </c>
      <c r="AE48" s="67">
        <f t="shared" si="17"/>
        <v>0</v>
      </c>
      <c r="AF48" s="67">
        <f t="shared" si="17"/>
        <v>0</v>
      </c>
      <c r="AG48" s="67">
        <f t="shared" si="17"/>
        <v>0</v>
      </c>
      <c r="AH48" s="67">
        <f t="shared" si="17"/>
        <v>0</v>
      </c>
      <c r="AI48" s="67">
        <f t="shared" si="17"/>
        <v>0</v>
      </c>
      <c r="AJ48" s="187"/>
      <c r="AK48" s="77"/>
    </row>
    <row r="49" spans="2:37" x14ac:dyDescent="0.2">
      <c r="B49" s="75"/>
      <c r="C49" s="187"/>
      <c r="D49" s="150"/>
      <c r="E49" s="150"/>
      <c r="F49" s="151"/>
      <c r="G49" s="66"/>
      <c r="H49" s="151"/>
      <c r="I49" s="151"/>
      <c r="J49" s="187"/>
      <c r="K49" s="70">
        <f t="shared" si="18"/>
        <v>0</v>
      </c>
      <c r="L49" s="67">
        <f t="shared" si="19"/>
        <v>0</v>
      </c>
      <c r="M49" s="67">
        <f t="shared" si="20"/>
        <v>0</v>
      </c>
      <c r="N49" s="533" t="str">
        <f t="shared" si="21"/>
        <v>-</v>
      </c>
      <c r="O49" s="67">
        <f t="shared" si="22"/>
        <v>0</v>
      </c>
      <c r="P49" s="187"/>
      <c r="Q49" s="67">
        <f t="shared" si="14"/>
        <v>0</v>
      </c>
      <c r="R49" s="67">
        <f t="shared" si="14"/>
        <v>0</v>
      </c>
      <c r="S49" s="67">
        <f t="shared" si="23"/>
        <v>0</v>
      </c>
      <c r="T49" s="67">
        <f t="shared" si="15"/>
        <v>0</v>
      </c>
      <c r="U49" s="67">
        <f t="shared" si="15"/>
        <v>0</v>
      </c>
      <c r="V49" s="67">
        <f t="shared" si="15"/>
        <v>0</v>
      </c>
      <c r="W49" s="67">
        <f t="shared" si="15"/>
        <v>0</v>
      </c>
      <c r="X49" s="67">
        <f t="shared" si="15"/>
        <v>0</v>
      </c>
      <c r="Y49" s="67">
        <f t="shared" si="15"/>
        <v>0</v>
      </c>
      <c r="Z49" s="1208"/>
      <c r="AA49" s="1201">
        <f t="shared" si="17"/>
        <v>0</v>
      </c>
      <c r="AB49" s="67">
        <f t="shared" si="17"/>
        <v>0</v>
      </c>
      <c r="AC49" s="67">
        <f t="shared" si="17"/>
        <v>0</v>
      </c>
      <c r="AD49" s="67">
        <f t="shared" si="17"/>
        <v>0</v>
      </c>
      <c r="AE49" s="67">
        <f t="shared" si="17"/>
        <v>0</v>
      </c>
      <c r="AF49" s="67">
        <f t="shared" si="17"/>
        <v>0</v>
      </c>
      <c r="AG49" s="67">
        <f t="shared" si="17"/>
        <v>0</v>
      </c>
      <c r="AH49" s="67">
        <f t="shared" si="17"/>
        <v>0</v>
      </c>
      <c r="AI49" s="67">
        <f t="shared" si="17"/>
        <v>0</v>
      </c>
      <c r="AJ49" s="187"/>
      <c r="AK49" s="77"/>
    </row>
    <row r="50" spans="2:37" x14ac:dyDescent="0.2">
      <c r="B50" s="75"/>
      <c r="C50" s="187"/>
      <c r="D50" s="150"/>
      <c r="E50" s="150"/>
      <c r="F50" s="151"/>
      <c r="G50" s="66"/>
      <c r="H50" s="151"/>
      <c r="I50" s="151"/>
      <c r="J50" s="187"/>
      <c r="K50" s="70">
        <f t="shared" si="18"/>
        <v>0</v>
      </c>
      <c r="L50" s="67">
        <f t="shared" si="19"/>
        <v>0</v>
      </c>
      <c r="M50" s="67">
        <f t="shared" si="20"/>
        <v>0</v>
      </c>
      <c r="N50" s="533" t="str">
        <f t="shared" si="21"/>
        <v>-</v>
      </c>
      <c r="O50" s="67">
        <f t="shared" si="22"/>
        <v>0</v>
      </c>
      <c r="P50" s="187"/>
      <c r="Q50" s="67">
        <f t="shared" si="14"/>
        <v>0</v>
      </c>
      <c r="R50" s="67">
        <f t="shared" si="14"/>
        <v>0</v>
      </c>
      <c r="S50" s="67">
        <f t="shared" si="23"/>
        <v>0</v>
      </c>
      <c r="T50" s="67">
        <f t="shared" si="15"/>
        <v>0</v>
      </c>
      <c r="U50" s="67">
        <f t="shared" si="15"/>
        <v>0</v>
      </c>
      <c r="V50" s="67">
        <f t="shared" si="15"/>
        <v>0</v>
      </c>
      <c r="W50" s="67">
        <f t="shared" si="15"/>
        <v>0</v>
      </c>
      <c r="X50" s="67">
        <f t="shared" si="15"/>
        <v>0</v>
      </c>
      <c r="Y50" s="67">
        <f t="shared" si="15"/>
        <v>0</v>
      </c>
      <c r="Z50" s="1208"/>
      <c r="AA50" s="1201">
        <f t="shared" si="17"/>
        <v>0</v>
      </c>
      <c r="AB50" s="67">
        <f t="shared" si="17"/>
        <v>0</v>
      </c>
      <c r="AC50" s="67">
        <f t="shared" si="17"/>
        <v>0</v>
      </c>
      <c r="AD50" s="67">
        <f t="shared" si="17"/>
        <v>0</v>
      </c>
      <c r="AE50" s="67">
        <f t="shared" si="17"/>
        <v>0</v>
      </c>
      <c r="AF50" s="67">
        <f t="shared" si="17"/>
        <v>0</v>
      </c>
      <c r="AG50" s="67">
        <f t="shared" si="17"/>
        <v>0</v>
      </c>
      <c r="AH50" s="67">
        <f t="shared" si="17"/>
        <v>0</v>
      </c>
      <c r="AI50" s="67">
        <f t="shared" si="17"/>
        <v>0</v>
      </c>
      <c r="AJ50" s="187"/>
      <c r="AK50" s="77"/>
    </row>
    <row r="51" spans="2:37" x14ac:dyDescent="0.2">
      <c r="B51" s="75"/>
      <c r="C51" s="187"/>
      <c r="D51" s="150"/>
      <c r="E51" s="150"/>
      <c r="F51" s="151"/>
      <c r="G51" s="66"/>
      <c r="H51" s="151"/>
      <c r="I51" s="151"/>
      <c r="J51" s="187"/>
      <c r="K51" s="70">
        <f t="shared" si="18"/>
        <v>0</v>
      </c>
      <c r="L51" s="67">
        <f t="shared" si="19"/>
        <v>0</v>
      </c>
      <c r="M51" s="67">
        <f t="shared" si="20"/>
        <v>0</v>
      </c>
      <c r="N51" s="533" t="str">
        <f t="shared" si="21"/>
        <v>-</v>
      </c>
      <c r="O51" s="67">
        <f t="shared" si="22"/>
        <v>0</v>
      </c>
      <c r="P51" s="187"/>
      <c r="Q51" s="67">
        <f t="shared" si="14"/>
        <v>0</v>
      </c>
      <c r="R51" s="67">
        <f t="shared" si="14"/>
        <v>0</v>
      </c>
      <c r="S51" s="67">
        <f t="shared" si="23"/>
        <v>0</v>
      </c>
      <c r="T51" s="67">
        <f t="shared" si="15"/>
        <v>0</v>
      </c>
      <c r="U51" s="67">
        <f t="shared" si="15"/>
        <v>0</v>
      </c>
      <c r="V51" s="67">
        <f t="shared" si="15"/>
        <v>0</v>
      </c>
      <c r="W51" s="67">
        <f t="shared" si="15"/>
        <v>0</v>
      </c>
      <c r="X51" s="67">
        <f t="shared" si="15"/>
        <v>0</v>
      </c>
      <c r="Y51" s="67">
        <f t="shared" si="15"/>
        <v>0</v>
      </c>
      <c r="Z51" s="1208"/>
      <c r="AA51" s="1201">
        <f t="shared" si="17"/>
        <v>0</v>
      </c>
      <c r="AB51" s="67">
        <f t="shared" si="17"/>
        <v>0</v>
      </c>
      <c r="AC51" s="67">
        <f t="shared" si="17"/>
        <v>0</v>
      </c>
      <c r="AD51" s="67">
        <f t="shared" si="17"/>
        <v>0</v>
      </c>
      <c r="AE51" s="67">
        <f t="shared" si="17"/>
        <v>0</v>
      </c>
      <c r="AF51" s="67">
        <f t="shared" si="17"/>
        <v>0</v>
      </c>
      <c r="AG51" s="67">
        <f t="shared" si="17"/>
        <v>0</v>
      </c>
      <c r="AH51" s="67">
        <f t="shared" si="17"/>
        <v>0</v>
      </c>
      <c r="AI51" s="67">
        <f t="shared" si="17"/>
        <v>0</v>
      </c>
      <c r="AJ51" s="187"/>
      <c r="AK51" s="77"/>
    </row>
    <row r="52" spans="2:37" x14ac:dyDescent="0.2">
      <c r="B52" s="75"/>
      <c r="C52" s="187"/>
      <c r="D52" s="150"/>
      <c r="E52" s="150"/>
      <c r="F52" s="151"/>
      <c r="G52" s="66"/>
      <c r="H52" s="151"/>
      <c r="I52" s="151"/>
      <c r="J52" s="187"/>
      <c r="K52" s="70">
        <f t="shared" si="18"/>
        <v>0</v>
      </c>
      <c r="L52" s="67">
        <f t="shared" si="19"/>
        <v>0</v>
      </c>
      <c r="M52" s="67">
        <f t="shared" si="20"/>
        <v>0</v>
      </c>
      <c r="N52" s="533" t="str">
        <f t="shared" si="21"/>
        <v>-</v>
      </c>
      <c r="O52" s="67">
        <f t="shared" si="22"/>
        <v>0</v>
      </c>
      <c r="P52" s="187"/>
      <c r="Q52" s="67">
        <f t="shared" si="14"/>
        <v>0</v>
      </c>
      <c r="R52" s="67">
        <f t="shared" si="14"/>
        <v>0</v>
      </c>
      <c r="S52" s="67">
        <f t="shared" si="23"/>
        <v>0</v>
      </c>
      <c r="T52" s="67">
        <f t="shared" si="15"/>
        <v>0</v>
      </c>
      <c r="U52" s="67">
        <f t="shared" si="15"/>
        <v>0</v>
      </c>
      <c r="V52" s="67">
        <f t="shared" si="15"/>
        <v>0</v>
      </c>
      <c r="W52" s="67">
        <f t="shared" si="15"/>
        <v>0</v>
      </c>
      <c r="X52" s="67">
        <f t="shared" si="15"/>
        <v>0</v>
      </c>
      <c r="Y52" s="67">
        <f t="shared" si="15"/>
        <v>0</v>
      </c>
      <c r="Z52" s="1208"/>
      <c r="AA52" s="1201">
        <f t="shared" si="17"/>
        <v>0</v>
      </c>
      <c r="AB52" s="67">
        <f t="shared" si="17"/>
        <v>0</v>
      </c>
      <c r="AC52" s="67">
        <f t="shared" si="17"/>
        <v>0</v>
      </c>
      <c r="AD52" s="67">
        <f t="shared" si="17"/>
        <v>0</v>
      </c>
      <c r="AE52" s="67">
        <f t="shared" si="17"/>
        <v>0</v>
      </c>
      <c r="AF52" s="67">
        <f t="shared" si="17"/>
        <v>0</v>
      </c>
      <c r="AG52" s="67">
        <f t="shared" si="17"/>
        <v>0</v>
      </c>
      <c r="AH52" s="67">
        <f t="shared" si="17"/>
        <v>0</v>
      </c>
      <c r="AI52" s="67">
        <f t="shared" si="17"/>
        <v>0</v>
      </c>
      <c r="AJ52" s="187"/>
      <c r="AK52" s="77"/>
    </row>
    <row r="53" spans="2:37" x14ac:dyDescent="0.2">
      <c r="B53" s="75"/>
      <c r="C53" s="187"/>
      <c r="D53" s="150"/>
      <c r="E53" s="150"/>
      <c r="F53" s="151"/>
      <c r="G53" s="66"/>
      <c r="H53" s="151"/>
      <c r="I53" s="151"/>
      <c r="J53" s="187"/>
      <c r="K53" s="70">
        <f t="shared" si="18"/>
        <v>0</v>
      </c>
      <c r="L53" s="67">
        <f t="shared" si="19"/>
        <v>0</v>
      </c>
      <c r="M53" s="67">
        <f t="shared" si="20"/>
        <v>0</v>
      </c>
      <c r="N53" s="533" t="str">
        <f t="shared" si="21"/>
        <v>-</v>
      </c>
      <c r="O53" s="67">
        <f t="shared" si="22"/>
        <v>0</v>
      </c>
      <c r="P53" s="187"/>
      <c r="Q53" s="67">
        <f t="shared" si="14"/>
        <v>0</v>
      </c>
      <c r="R53" s="67">
        <f t="shared" si="14"/>
        <v>0</v>
      </c>
      <c r="S53" s="67">
        <f t="shared" si="23"/>
        <v>0</v>
      </c>
      <c r="T53" s="67">
        <f t="shared" si="15"/>
        <v>0</v>
      </c>
      <c r="U53" s="67">
        <f t="shared" si="15"/>
        <v>0</v>
      </c>
      <c r="V53" s="67">
        <f t="shared" si="15"/>
        <v>0</v>
      </c>
      <c r="W53" s="67">
        <f t="shared" si="15"/>
        <v>0</v>
      </c>
      <c r="X53" s="67">
        <f t="shared" si="15"/>
        <v>0</v>
      </c>
      <c r="Y53" s="67">
        <f t="shared" si="15"/>
        <v>0</v>
      </c>
      <c r="Z53" s="1208"/>
      <c r="AA53" s="1201">
        <f t="shared" si="17"/>
        <v>0</v>
      </c>
      <c r="AB53" s="67">
        <f t="shared" si="17"/>
        <v>0</v>
      </c>
      <c r="AC53" s="67">
        <f t="shared" si="17"/>
        <v>0</v>
      </c>
      <c r="AD53" s="67">
        <f t="shared" si="17"/>
        <v>0</v>
      </c>
      <c r="AE53" s="67">
        <f t="shared" si="17"/>
        <v>0</v>
      </c>
      <c r="AF53" s="67">
        <f t="shared" si="17"/>
        <v>0</v>
      </c>
      <c r="AG53" s="67">
        <f t="shared" si="17"/>
        <v>0</v>
      </c>
      <c r="AH53" s="67">
        <f t="shared" si="17"/>
        <v>0</v>
      </c>
      <c r="AI53" s="67">
        <f t="shared" si="17"/>
        <v>0</v>
      </c>
      <c r="AJ53" s="187"/>
      <c r="AK53" s="77"/>
    </row>
    <row r="54" spans="2:37" x14ac:dyDescent="0.2">
      <c r="B54" s="75"/>
      <c r="C54" s="187"/>
      <c r="D54" s="150"/>
      <c r="E54" s="150"/>
      <c r="F54" s="151"/>
      <c r="G54" s="66"/>
      <c r="H54" s="151"/>
      <c r="I54" s="151"/>
      <c r="J54" s="187"/>
      <c r="K54" s="70">
        <f t="shared" si="18"/>
        <v>0</v>
      </c>
      <c r="L54" s="67">
        <f t="shared" si="19"/>
        <v>0</v>
      </c>
      <c r="M54" s="67">
        <f t="shared" si="20"/>
        <v>0</v>
      </c>
      <c r="N54" s="533" t="str">
        <f t="shared" si="21"/>
        <v>-</v>
      </c>
      <c r="O54" s="67">
        <f t="shared" si="22"/>
        <v>0</v>
      </c>
      <c r="P54" s="187"/>
      <c r="Q54" s="67">
        <f t="shared" ref="Q54:R70" si="24">(IF(Q$8&lt;$H54,0,IF($N54&lt;=Q$8-1,0,$M54)))</f>
        <v>0</v>
      </c>
      <c r="R54" s="67">
        <f t="shared" si="24"/>
        <v>0</v>
      </c>
      <c r="S54" s="67">
        <f t="shared" si="23"/>
        <v>0</v>
      </c>
      <c r="T54" s="67">
        <f t="shared" ref="T54:Y70" si="25">(IF(T$8&lt;$H54,0,IF($N54&lt;=T$8-1,0,$M54)))</f>
        <v>0</v>
      </c>
      <c r="U54" s="67">
        <f t="shared" si="25"/>
        <v>0</v>
      </c>
      <c r="V54" s="67">
        <f t="shared" si="25"/>
        <v>0</v>
      </c>
      <c r="W54" s="67">
        <f t="shared" si="25"/>
        <v>0</v>
      </c>
      <c r="X54" s="67">
        <f t="shared" si="25"/>
        <v>0</v>
      </c>
      <c r="Y54" s="67">
        <f t="shared" si="25"/>
        <v>0</v>
      </c>
      <c r="Z54" s="1208"/>
      <c r="AA54" s="1201">
        <f t="shared" ref="AA54:AI63" si="26">IF(AA$8=$H54,($F54*$G54),0)</f>
        <v>0</v>
      </c>
      <c r="AB54" s="67">
        <f t="shared" si="26"/>
        <v>0</v>
      </c>
      <c r="AC54" s="67">
        <f t="shared" si="26"/>
        <v>0</v>
      </c>
      <c r="AD54" s="67">
        <f t="shared" si="26"/>
        <v>0</v>
      </c>
      <c r="AE54" s="67">
        <f t="shared" si="26"/>
        <v>0</v>
      </c>
      <c r="AF54" s="67">
        <f t="shared" si="26"/>
        <v>0</v>
      </c>
      <c r="AG54" s="67">
        <f t="shared" si="26"/>
        <v>0</v>
      </c>
      <c r="AH54" s="67">
        <f t="shared" si="26"/>
        <v>0</v>
      </c>
      <c r="AI54" s="67">
        <f t="shared" si="26"/>
        <v>0</v>
      </c>
      <c r="AJ54" s="187"/>
      <c r="AK54" s="77"/>
    </row>
    <row r="55" spans="2:37" x14ac:dyDescent="0.2">
      <c r="B55" s="75"/>
      <c r="C55" s="187"/>
      <c r="D55" s="150"/>
      <c r="E55" s="150"/>
      <c r="F55" s="151"/>
      <c r="G55" s="66"/>
      <c r="H55" s="151"/>
      <c r="I55" s="151"/>
      <c r="J55" s="187"/>
      <c r="K55" s="70">
        <f t="shared" si="18"/>
        <v>0</v>
      </c>
      <c r="L55" s="67">
        <f t="shared" si="19"/>
        <v>0</v>
      </c>
      <c r="M55" s="67">
        <f t="shared" si="20"/>
        <v>0</v>
      </c>
      <c r="N55" s="533" t="str">
        <f t="shared" si="21"/>
        <v>-</v>
      </c>
      <c r="O55" s="67">
        <f t="shared" si="22"/>
        <v>0</v>
      </c>
      <c r="P55" s="187"/>
      <c r="Q55" s="67">
        <f t="shared" si="24"/>
        <v>0</v>
      </c>
      <c r="R55" s="67">
        <f t="shared" si="24"/>
        <v>0</v>
      </c>
      <c r="S55" s="67">
        <f t="shared" si="23"/>
        <v>0</v>
      </c>
      <c r="T55" s="67">
        <f t="shared" si="25"/>
        <v>0</v>
      </c>
      <c r="U55" s="67">
        <f t="shared" si="25"/>
        <v>0</v>
      </c>
      <c r="V55" s="67">
        <f t="shared" si="25"/>
        <v>0</v>
      </c>
      <c r="W55" s="67">
        <f t="shared" si="25"/>
        <v>0</v>
      </c>
      <c r="X55" s="67">
        <f t="shared" si="25"/>
        <v>0</v>
      </c>
      <c r="Y55" s="67">
        <f t="shared" si="25"/>
        <v>0</v>
      </c>
      <c r="Z55" s="1208"/>
      <c r="AA55" s="1201">
        <f t="shared" si="26"/>
        <v>0</v>
      </c>
      <c r="AB55" s="67">
        <f t="shared" si="26"/>
        <v>0</v>
      </c>
      <c r="AC55" s="67">
        <f t="shared" si="26"/>
        <v>0</v>
      </c>
      <c r="AD55" s="67">
        <f t="shared" si="26"/>
        <v>0</v>
      </c>
      <c r="AE55" s="67">
        <f t="shared" si="26"/>
        <v>0</v>
      </c>
      <c r="AF55" s="67">
        <f t="shared" si="26"/>
        <v>0</v>
      </c>
      <c r="AG55" s="67">
        <f t="shared" si="26"/>
        <v>0</v>
      </c>
      <c r="AH55" s="67">
        <f t="shared" si="26"/>
        <v>0</v>
      </c>
      <c r="AI55" s="67">
        <f t="shared" si="26"/>
        <v>0</v>
      </c>
      <c r="AJ55" s="187"/>
      <c r="AK55" s="77"/>
    </row>
    <row r="56" spans="2:37" x14ac:dyDescent="0.2">
      <c r="B56" s="75"/>
      <c r="C56" s="187"/>
      <c r="D56" s="150"/>
      <c r="E56" s="150"/>
      <c r="F56" s="151"/>
      <c r="G56" s="66"/>
      <c r="H56" s="151"/>
      <c r="I56" s="151"/>
      <c r="J56" s="187"/>
      <c r="K56" s="70">
        <f t="shared" si="18"/>
        <v>0</v>
      </c>
      <c r="L56" s="67">
        <f t="shared" si="19"/>
        <v>0</v>
      </c>
      <c r="M56" s="67">
        <f t="shared" si="20"/>
        <v>0</v>
      </c>
      <c r="N56" s="533" t="str">
        <f t="shared" si="21"/>
        <v>-</v>
      </c>
      <c r="O56" s="67">
        <f t="shared" si="22"/>
        <v>0</v>
      </c>
      <c r="P56" s="187"/>
      <c r="Q56" s="67">
        <f t="shared" si="24"/>
        <v>0</v>
      </c>
      <c r="R56" s="67">
        <f t="shared" si="24"/>
        <v>0</v>
      </c>
      <c r="S56" s="67">
        <f t="shared" si="23"/>
        <v>0</v>
      </c>
      <c r="T56" s="67">
        <f t="shared" si="25"/>
        <v>0</v>
      </c>
      <c r="U56" s="67">
        <f t="shared" si="25"/>
        <v>0</v>
      </c>
      <c r="V56" s="67">
        <f t="shared" si="25"/>
        <v>0</v>
      </c>
      <c r="W56" s="67">
        <f t="shared" si="25"/>
        <v>0</v>
      </c>
      <c r="X56" s="67">
        <f t="shared" si="25"/>
        <v>0</v>
      </c>
      <c r="Y56" s="67">
        <f t="shared" si="25"/>
        <v>0</v>
      </c>
      <c r="Z56" s="1208"/>
      <c r="AA56" s="1201">
        <f t="shared" si="26"/>
        <v>0</v>
      </c>
      <c r="AB56" s="67">
        <f t="shared" si="26"/>
        <v>0</v>
      </c>
      <c r="AC56" s="67">
        <f t="shared" si="26"/>
        <v>0</v>
      </c>
      <c r="AD56" s="67">
        <f t="shared" si="26"/>
        <v>0</v>
      </c>
      <c r="AE56" s="67">
        <f t="shared" si="26"/>
        <v>0</v>
      </c>
      <c r="AF56" s="67">
        <f t="shared" si="26"/>
        <v>0</v>
      </c>
      <c r="AG56" s="67">
        <f t="shared" si="26"/>
        <v>0</v>
      </c>
      <c r="AH56" s="67">
        <f t="shared" si="26"/>
        <v>0</v>
      </c>
      <c r="AI56" s="67">
        <f t="shared" si="26"/>
        <v>0</v>
      </c>
      <c r="AJ56" s="187"/>
      <c r="AK56" s="77"/>
    </row>
    <row r="57" spans="2:37" x14ac:dyDescent="0.2">
      <c r="B57" s="75"/>
      <c r="C57" s="187"/>
      <c r="D57" s="150"/>
      <c r="E57" s="150"/>
      <c r="F57" s="151"/>
      <c r="G57" s="66"/>
      <c r="H57" s="151"/>
      <c r="I57" s="151"/>
      <c r="J57" s="187"/>
      <c r="K57" s="70">
        <f t="shared" si="18"/>
        <v>0</v>
      </c>
      <c r="L57" s="67">
        <f t="shared" si="19"/>
        <v>0</v>
      </c>
      <c r="M57" s="67">
        <f t="shared" si="20"/>
        <v>0</v>
      </c>
      <c r="N57" s="533" t="str">
        <f t="shared" si="21"/>
        <v>-</v>
      </c>
      <c r="O57" s="67">
        <f t="shared" si="22"/>
        <v>0</v>
      </c>
      <c r="P57" s="187"/>
      <c r="Q57" s="67">
        <f t="shared" si="24"/>
        <v>0</v>
      </c>
      <c r="R57" s="67">
        <f t="shared" si="24"/>
        <v>0</v>
      </c>
      <c r="S57" s="67">
        <f t="shared" si="23"/>
        <v>0</v>
      </c>
      <c r="T57" s="67">
        <f t="shared" si="25"/>
        <v>0</v>
      </c>
      <c r="U57" s="67">
        <f t="shared" si="25"/>
        <v>0</v>
      </c>
      <c r="V57" s="67">
        <f t="shared" si="25"/>
        <v>0</v>
      </c>
      <c r="W57" s="67">
        <f t="shared" si="25"/>
        <v>0</v>
      </c>
      <c r="X57" s="67">
        <f t="shared" si="25"/>
        <v>0</v>
      </c>
      <c r="Y57" s="67">
        <f t="shared" si="25"/>
        <v>0</v>
      </c>
      <c r="Z57" s="1208"/>
      <c r="AA57" s="1201">
        <f t="shared" si="26"/>
        <v>0</v>
      </c>
      <c r="AB57" s="67">
        <f t="shared" si="26"/>
        <v>0</v>
      </c>
      <c r="AC57" s="67">
        <f t="shared" si="26"/>
        <v>0</v>
      </c>
      <c r="AD57" s="67">
        <f t="shared" si="26"/>
        <v>0</v>
      </c>
      <c r="AE57" s="67">
        <f t="shared" si="26"/>
        <v>0</v>
      </c>
      <c r="AF57" s="67">
        <f t="shared" si="26"/>
        <v>0</v>
      </c>
      <c r="AG57" s="67">
        <f t="shared" si="26"/>
        <v>0</v>
      </c>
      <c r="AH57" s="67">
        <f t="shared" si="26"/>
        <v>0</v>
      </c>
      <c r="AI57" s="67">
        <f t="shared" si="26"/>
        <v>0</v>
      </c>
      <c r="AJ57" s="187"/>
      <c r="AK57" s="77"/>
    </row>
    <row r="58" spans="2:37" x14ac:dyDescent="0.2">
      <c r="B58" s="75"/>
      <c r="C58" s="187"/>
      <c r="D58" s="150"/>
      <c r="E58" s="150"/>
      <c r="F58" s="151"/>
      <c r="G58" s="66"/>
      <c r="H58" s="151"/>
      <c r="I58" s="151"/>
      <c r="J58" s="187"/>
      <c r="K58" s="70">
        <f t="shared" si="18"/>
        <v>0</v>
      </c>
      <c r="L58" s="67">
        <f t="shared" si="19"/>
        <v>0</v>
      </c>
      <c r="M58" s="67">
        <f t="shared" si="20"/>
        <v>0</v>
      </c>
      <c r="N58" s="533" t="str">
        <f t="shared" si="21"/>
        <v>-</v>
      </c>
      <c r="O58" s="67">
        <f t="shared" si="22"/>
        <v>0</v>
      </c>
      <c r="P58" s="187"/>
      <c r="Q58" s="67">
        <f t="shared" si="24"/>
        <v>0</v>
      </c>
      <c r="R58" s="67">
        <f t="shared" si="24"/>
        <v>0</v>
      </c>
      <c r="S58" s="67">
        <f t="shared" si="23"/>
        <v>0</v>
      </c>
      <c r="T58" s="67">
        <f t="shared" si="25"/>
        <v>0</v>
      </c>
      <c r="U58" s="67">
        <f t="shared" si="25"/>
        <v>0</v>
      </c>
      <c r="V58" s="67">
        <f t="shared" si="25"/>
        <v>0</v>
      </c>
      <c r="W58" s="67">
        <f t="shared" si="25"/>
        <v>0</v>
      </c>
      <c r="X58" s="67">
        <f t="shared" si="25"/>
        <v>0</v>
      </c>
      <c r="Y58" s="67">
        <f t="shared" si="25"/>
        <v>0</v>
      </c>
      <c r="Z58" s="1208"/>
      <c r="AA58" s="1201">
        <f t="shared" si="26"/>
        <v>0</v>
      </c>
      <c r="AB58" s="67">
        <f t="shared" si="26"/>
        <v>0</v>
      </c>
      <c r="AC58" s="67">
        <f t="shared" si="26"/>
        <v>0</v>
      </c>
      <c r="AD58" s="67">
        <f t="shared" si="26"/>
        <v>0</v>
      </c>
      <c r="AE58" s="67">
        <f t="shared" si="26"/>
        <v>0</v>
      </c>
      <c r="AF58" s="67">
        <f t="shared" si="26"/>
        <v>0</v>
      </c>
      <c r="AG58" s="67">
        <f t="shared" si="26"/>
        <v>0</v>
      </c>
      <c r="AH58" s="67">
        <f t="shared" si="26"/>
        <v>0</v>
      </c>
      <c r="AI58" s="67">
        <f t="shared" si="26"/>
        <v>0</v>
      </c>
      <c r="AJ58" s="187"/>
      <c r="AK58" s="77"/>
    </row>
    <row r="59" spans="2:37" x14ac:dyDescent="0.2">
      <c r="B59" s="75"/>
      <c r="C59" s="187"/>
      <c r="D59" s="150"/>
      <c r="E59" s="150"/>
      <c r="F59" s="151"/>
      <c r="G59" s="66"/>
      <c r="H59" s="151"/>
      <c r="I59" s="151"/>
      <c r="J59" s="187"/>
      <c r="K59" s="70">
        <f t="shared" si="18"/>
        <v>0</v>
      </c>
      <c r="L59" s="67">
        <f t="shared" si="19"/>
        <v>0</v>
      </c>
      <c r="M59" s="67">
        <f t="shared" si="20"/>
        <v>0</v>
      </c>
      <c r="N59" s="533" t="str">
        <f t="shared" si="21"/>
        <v>-</v>
      </c>
      <c r="O59" s="67">
        <f t="shared" si="22"/>
        <v>0</v>
      </c>
      <c r="P59" s="187"/>
      <c r="Q59" s="67">
        <f t="shared" si="24"/>
        <v>0</v>
      </c>
      <c r="R59" s="67">
        <f t="shared" si="24"/>
        <v>0</v>
      </c>
      <c r="S59" s="67">
        <f t="shared" si="23"/>
        <v>0</v>
      </c>
      <c r="T59" s="67">
        <f t="shared" si="25"/>
        <v>0</v>
      </c>
      <c r="U59" s="67">
        <f t="shared" si="25"/>
        <v>0</v>
      </c>
      <c r="V59" s="67">
        <f t="shared" si="25"/>
        <v>0</v>
      </c>
      <c r="W59" s="67">
        <f t="shared" si="25"/>
        <v>0</v>
      </c>
      <c r="X59" s="67">
        <f t="shared" si="25"/>
        <v>0</v>
      </c>
      <c r="Y59" s="67">
        <f t="shared" si="25"/>
        <v>0</v>
      </c>
      <c r="Z59" s="1208"/>
      <c r="AA59" s="1201">
        <f t="shared" si="26"/>
        <v>0</v>
      </c>
      <c r="AB59" s="67">
        <f t="shared" si="26"/>
        <v>0</v>
      </c>
      <c r="AC59" s="67">
        <f t="shared" si="26"/>
        <v>0</v>
      </c>
      <c r="AD59" s="67">
        <f t="shared" si="26"/>
        <v>0</v>
      </c>
      <c r="AE59" s="67">
        <f t="shared" si="26"/>
        <v>0</v>
      </c>
      <c r="AF59" s="67">
        <f t="shared" si="26"/>
        <v>0</v>
      </c>
      <c r="AG59" s="67">
        <f t="shared" si="26"/>
        <v>0</v>
      </c>
      <c r="AH59" s="67">
        <f t="shared" si="26"/>
        <v>0</v>
      </c>
      <c r="AI59" s="67">
        <f t="shared" si="26"/>
        <v>0</v>
      </c>
      <c r="AJ59" s="187"/>
      <c r="AK59" s="77"/>
    </row>
    <row r="60" spans="2:37" x14ac:dyDescent="0.2">
      <c r="B60" s="75"/>
      <c r="C60" s="187"/>
      <c r="D60" s="150"/>
      <c r="E60" s="150"/>
      <c r="F60" s="151"/>
      <c r="G60" s="66"/>
      <c r="H60" s="151"/>
      <c r="I60" s="151"/>
      <c r="J60" s="187"/>
      <c r="K60" s="70">
        <f t="shared" si="18"/>
        <v>0</v>
      </c>
      <c r="L60" s="67">
        <f t="shared" si="19"/>
        <v>0</v>
      </c>
      <c r="M60" s="67">
        <f t="shared" si="20"/>
        <v>0</v>
      </c>
      <c r="N60" s="533" t="str">
        <f t="shared" si="21"/>
        <v>-</v>
      </c>
      <c r="O60" s="67">
        <f t="shared" si="22"/>
        <v>0</v>
      </c>
      <c r="P60" s="187"/>
      <c r="Q60" s="67">
        <f t="shared" si="24"/>
        <v>0</v>
      </c>
      <c r="R60" s="67">
        <f t="shared" si="24"/>
        <v>0</v>
      </c>
      <c r="S60" s="67">
        <f t="shared" si="23"/>
        <v>0</v>
      </c>
      <c r="T60" s="67">
        <f t="shared" si="25"/>
        <v>0</v>
      </c>
      <c r="U60" s="67">
        <f t="shared" si="25"/>
        <v>0</v>
      </c>
      <c r="V60" s="67">
        <f t="shared" si="25"/>
        <v>0</v>
      </c>
      <c r="W60" s="67">
        <f t="shared" si="25"/>
        <v>0</v>
      </c>
      <c r="X60" s="67">
        <f t="shared" si="25"/>
        <v>0</v>
      </c>
      <c r="Y60" s="67">
        <f t="shared" si="25"/>
        <v>0</v>
      </c>
      <c r="Z60" s="1208"/>
      <c r="AA60" s="1201">
        <f t="shared" si="26"/>
        <v>0</v>
      </c>
      <c r="AB60" s="67">
        <f t="shared" si="26"/>
        <v>0</v>
      </c>
      <c r="AC60" s="67">
        <f t="shared" si="26"/>
        <v>0</v>
      </c>
      <c r="AD60" s="67">
        <f t="shared" si="26"/>
        <v>0</v>
      </c>
      <c r="AE60" s="67">
        <f t="shared" si="26"/>
        <v>0</v>
      </c>
      <c r="AF60" s="67">
        <f t="shared" si="26"/>
        <v>0</v>
      </c>
      <c r="AG60" s="67">
        <f t="shared" si="26"/>
        <v>0</v>
      </c>
      <c r="AH60" s="67">
        <f t="shared" si="26"/>
        <v>0</v>
      </c>
      <c r="AI60" s="67">
        <f t="shared" si="26"/>
        <v>0</v>
      </c>
      <c r="AJ60" s="187"/>
      <c r="AK60" s="77"/>
    </row>
    <row r="61" spans="2:37" x14ac:dyDescent="0.2">
      <c r="B61" s="75"/>
      <c r="C61" s="187"/>
      <c r="D61" s="150"/>
      <c r="E61" s="150"/>
      <c r="F61" s="151"/>
      <c r="G61" s="66"/>
      <c r="H61" s="151"/>
      <c r="I61" s="151"/>
      <c r="J61" s="187"/>
      <c r="K61" s="70">
        <f t="shared" si="18"/>
        <v>0</v>
      </c>
      <c r="L61" s="67">
        <f t="shared" si="19"/>
        <v>0</v>
      </c>
      <c r="M61" s="67">
        <f t="shared" si="20"/>
        <v>0</v>
      </c>
      <c r="N61" s="533" t="str">
        <f t="shared" si="21"/>
        <v>-</v>
      </c>
      <c r="O61" s="67">
        <f t="shared" si="22"/>
        <v>0</v>
      </c>
      <c r="P61" s="187"/>
      <c r="Q61" s="67">
        <f t="shared" si="24"/>
        <v>0</v>
      </c>
      <c r="R61" s="67">
        <f t="shared" si="24"/>
        <v>0</v>
      </c>
      <c r="S61" s="67">
        <f t="shared" si="23"/>
        <v>0</v>
      </c>
      <c r="T61" s="67">
        <f t="shared" si="25"/>
        <v>0</v>
      </c>
      <c r="U61" s="67">
        <f t="shared" si="25"/>
        <v>0</v>
      </c>
      <c r="V61" s="67">
        <f t="shared" si="25"/>
        <v>0</v>
      </c>
      <c r="W61" s="67">
        <f t="shared" si="25"/>
        <v>0</v>
      </c>
      <c r="X61" s="67">
        <f t="shared" si="25"/>
        <v>0</v>
      </c>
      <c r="Y61" s="67">
        <f t="shared" si="25"/>
        <v>0</v>
      </c>
      <c r="Z61" s="1208"/>
      <c r="AA61" s="1201">
        <f t="shared" si="26"/>
        <v>0</v>
      </c>
      <c r="AB61" s="67">
        <f t="shared" si="26"/>
        <v>0</v>
      </c>
      <c r="AC61" s="67">
        <f t="shared" si="26"/>
        <v>0</v>
      </c>
      <c r="AD61" s="67">
        <f t="shared" si="26"/>
        <v>0</v>
      </c>
      <c r="AE61" s="67">
        <f t="shared" si="26"/>
        <v>0</v>
      </c>
      <c r="AF61" s="67">
        <f t="shared" si="26"/>
        <v>0</v>
      </c>
      <c r="AG61" s="67">
        <f t="shared" si="26"/>
        <v>0</v>
      </c>
      <c r="AH61" s="67">
        <f t="shared" si="26"/>
        <v>0</v>
      </c>
      <c r="AI61" s="67">
        <f t="shared" si="26"/>
        <v>0</v>
      </c>
      <c r="AJ61" s="187"/>
      <c r="AK61" s="77"/>
    </row>
    <row r="62" spans="2:37" x14ac:dyDescent="0.2">
      <c r="B62" s="75"/>
      <c r="C62" s="187"/>
      <c r="D62" s="150"/>
      <c r="E62" s="150"/>
      <c r="F62" s="151"/>
      <c r="G62" s="66"/>
      <c r="H62" s="151"/>
      <c r="I62" s="151"/>
      <c r="J62" s="187"/>
      <c r="K62" s="70">
        <f t="shared" si="18"/>
        <v>0</v>
      </c>
      <c r="L62" s="67">
        <f t="shared" si="19"/>
        <v>0</v>
      </c>
      <c r="M62" s="67">
        <f t="shared" si="20"/>
        <v>0</v>
      </c>
      <c r="N62" s="533" t="str">
        <f t="shared" si="21"/>
        <v>-</v>
      </c>
      <c r="O62" s="67">
        <f t="shared" si="22"/>
        <v>0</v>
      </c>
      <c r="P62" s="187"/>
      <c r="Q62" s="67">
        <f t="shared" si="24"/>
        <v>0</v>
      </c>
      <c r="R62" s="67">
        <f t="shared" si="24"/>
        <v>0</v>
      </c>
      <c r="S62" s="67">
        <f t="shared" si="23"/>
        <v>0</v>
      </c>
      <c r="T62" s="67">
        <f t="shared" si="25"/>
        <v>0</v>
      </c>
      <c r="U62" s="67">
        <f t="shared" si="25"/>
        <v>0</v>
      </c>
      <c r="V62" s="67">
        <f t="shared" si="25"/>
        <v>0</v>
      </c>
      <c r="W62" s="67">
        <f t="shared" si="25"/>
        <v>0</v>
      </c>
      <c r="X62" s="67">
        <f t="shared" si="25"/>
        <v>0</v>
      </c>
      <c r="Y62" s="67">
        <f t="shared" si="25"/>
        <v>0</v>
      </c>
      <c r="Z62" s="1208"/>
      <c r="AA62" s="1201">
        <f t="shared" si="26"/>
        <v>0</v>
      </c>
      <c r="AB62" s="67">
        <f t="shared" si="26"/>
        <v>0</v>
      </c>
      <c r="AC62" s="67">
        <f t="shared" si="26"/>
        <v>0</v>
      </c>
      <c r="AD62" s="67">
        <f t="shared" si="26"/>
        <v>0</v>
      </c>
      <c r="AE62" s="67">
        <f t="shared" si="26"/>
        <v>0</v>
      </c>
      <c r="AF62" s="67">
        <f t="shared" si="26"/>
        <v>0</v>
      </c>
      <c r="AG62" s="67">
        <f t="shared" si="26"/>
        <v>0</v>
      </c>
      <c r="AH62" s="67">
        <f t="shared" si="26"/>
        <v>0</v>
      </c>
      <c r="AI62" s="67">
        <f t="shared" si="26"/>
        <v>0</v>
      </c>
      <c r="AJ62" s="187"/>
      <c r="AK62" s="77"/>
    </row>
    <row r="63" spans="2:37" x14ac:dyDescent="0.2">
      <c r="B63" s="75"/>
      <c r="C63" s="187"/>
      <c r="D63" s="150"/>
      <c r="E63" s="150"/>
      <c r="F63" s="151"/>
      <c r="G63" s="66"/>
      <c r="H63" s="151"/>
      <c r="I63" s="151"/>
      <c r="J63" s="187"/>
      <c r="K63" s="70">
        <f t="shared" si="18"/>
        <v>0</v>
      </c>
      <c r="L63" s="67">
        <f t="shared" si="19"/>
        <v>0</v>
      </c>
      <c r="M63" s="67">
        <f t="shared" si="20"/>
        <v>0</v>
      </c>
      <c r="N63" s="533" t="str">
        <f t="shared" si="21"/>
        <v>-</v>
      </c>
      <c r="O63" s="67">
        <f t="shared" si="22"/>
        <v>0</v>
      </c>
      <c r="P63" s="187"/>
      <c r="Q63" s="67">
        <f t="shared" si="24"/>
        <v>0</v>
      </c>
      <c r="R63" s="67">
        <f t="shared" si="24"/>
        <v>0</v>
      </c>
      <c r="S63" s="67">
        <f t="shared" si="23"/>
        <v>0</v>
      </c>
      <c r="T63" s="67">
        <f t="shared" si="25"/>
        <v>0</v>
      </c>
      <c r="U63" s="67">
        <f t="shared" si="25"/>
        <v>0</v>
      </c>
      <c r="V63" s="67">
        <f t="shared" si="25"/>
        <v>0</v>
      </c>
      <c r="W63" s="67">
        <f t="shared" si="25"/>
        <v>0</v>
      </c>
      <c r="X63" s="67">
        <f t="shared" si="25"/>
        <v>0</v>
      </c>
      <c r="Y63" s="67">
        <f t="shared" si="25"/>
        <v>0</v>
      </c>
      <c r="Z63" s="1208"/>
      <c r="AA63" s="1201">
        <f t="shared" si="26"/>
        <v>0</v>
      </c>
      <c r="AB63" s="67">
        <f t="shared" si="26"/>
        <v>0</v>
      </c>
      <c r="AC63" s="67">
        <f t="shared" si="26"/>
        <v>0</v>
      </c>
      <c r="AD63" s="67">
        <f t="shared" si="26"/>
        <v>0</v>
      </c>
      <c r="AE63" s="67">
        <f t="shared" si="26"/>
        <v>0</v>
      </c>
      <c r="AF63" s="67">
        <f t="shared" si="26"/>
        <v>0</v>
      </c>
      <c r="AG63" s="67">
        <f t="shared" si="26"/>
        <v>0</v>
      </c>
      <c r="AH63" s="67">
        <f t="shared" si="26"/>
        <v>0</v>
      </c>
      <c r="AI63" s="67">
        <f t="shared" si="26"/>
        <v>0</v>
      </c>
      <c r="AJ63" s="187"/>
      <c r="AK63" s="77"/>
    </row>
    <row r="64" spans="2:37" x14ac:dyDescent="0.2">
      <c r="B64" s="75"/>
      <c r="C64" s="187"/>
      <c r="D64" s="150"/>
      <c r="E64" s="150"/>
      <c r="F64" s="151"/>
      <c r="G64" s="66"/>
      <c r="H64" s="151"/>
      <c r="I64" s="151"/>
      <c r="J64" s="187"/>
      <c r="K64" s="70">
        <f t="shared" si="18"/>
        <v>0</v>
      </c>
      <c r="L64" s="67">
        <f t="shared" si="19"/>
        <v>0</v>
      </c>
      <c r="M64" s="67">
        <f t="shared" si="20"/>
        <v>0</v>
      </c>
      <c r="N64" s="533" t="str">
        <f t="shared" si="21"/>
        <v>-</v>
      </c>
      <c r="O64" s="67">
        <f t="shared" si="22"/>
        <v>0</v>
      </c>
      <c r="P64" s="187"/>
      <c r="Q64" s="67">
        <f t="shared" si="24"/>
        <v>0</v>
      </c>
      <c r="R64" s="67">
        <f t="shared" si="24"/>
        <v>0</v>
      </c>
      <c r="S64" s="67">
        <f t="shared" si="23"/>
        <v>0</v>
      </c>
      <c r="T64" s="67">
        <f t="shared" si="25"/>
        <v>0</v>
      </c>
      <c r="U64" s="67">
        <f t="shared" si="25"/>
        <v>0</v>
      </c>
      <c r="V64" s="67">
        <f t="shared" si="25"/>
        <v>0</v>
      </c>
      <c r="W64" s="67">
        <f t="shared" si="25"/>
        <v>0</v>
      </c>
      <c r="X64" s="67">
        <f t="shared" si="25"/>
        <v>0</v>
      </c>
      <c r="Y64" s="67">
        <f t="shared" si="25"/>
        <v>0</v>
      </c>
      <c r="Z64" s="1208"/>
      <c r="AA64" s="1201">
        <f t="shared" ref="AA64:AI70" si="27">IF(AA$8=$H64,($F64*$G64),0)</f>
        <v>0</v>
      </c>
      <c r="AB64" s="67">
        <f t="shared" si="27"/>
        <v>0</v>
      </c>
      <c r="AC64" s="67">
        <f t="shared" si="27"/>
        <v>0</v>
      </c>
      <c r="AD64" s="67">
        <f t="shared" si="27"/>
        <v>0</v>
      </c>
      <c r="AE64" s="67">
        <f t="shared" si="27"/>
        <v>0</v>
      </c>
      <c r="AF64" s="67">
        <f t="shared" si="27"/>
        <v>0</v>
      </c>
      <c r="AG64" s="67">
        <f t="shared" si="27"/>
        <v>0</v>
      </c>
      <c r="AH64" s="67">
        <f t="shared" si="27"/>
        <v>0</v>
      </c>
      <c r="AI64" s="67">
        <f t="shared" si="27"/>
        <v>0</v>
      </c>
      <c r="AJ64" s="187"/>
      <c r="AK64" s="77"/>
    </row>
    <row r="65" spans="2:37" x14ac:dyDescent="0.2">
      <c r="B65" s="75"/>
      <c r="C65" s="187"/>
      <c r="D65" s="150"/>
      <c r="E65" s="150"/>
      <c r="F65" s="151"/>
      <c r="G65" s="66"/>
      <c r="H65" s="151"/>
      <c r="I65" s="151"/>
      <c r="J65" s="187"/>
      <c r="K65" s="70">
        <f t="shared" si="18"/>
        <v>0</v>
      </c>
      <c r="L65" s="67">
        <f t="shared" si="19"/>
        <v>0</v>
      </c>
      <c r="M65" s="67">
        <f t="shared" si="20"/>
        <v>0</v>
      </c>
      <c r="N65" s="533" t="str">
        <f t="shared" si="21"/>
        <v>-</v>
      </c>
      <c r="O65" s="67">
        <f t="shared" si="22"/>
        <v>0</v>
      </c>
      <c r="P65" s="187"/>
      <c r="Q65" s="67">
        <f t="shared" si="24"/>
        <v>0</v>
      </c>
      <c r="R65" s="67">
        <f t="shared" si="24"/>
        <v>0</v>
      </c>
      <c r="S65" s="67">
        <f t="shared" si="23"/>
        <v>0</v>
      </c>
      <c r="T65" s="67">
        <f t="shared" si="25"/>
        <v>0</v>
      </c>
      <c r="U65" s="67">
        <f t="shared" si="25"/>
        <v>0</v>
      </c>
      <c r="V65" s="67">
        <f t="shared" si="25"/>
        <v>0</v>
      </c>
      <c r="W65" s="67">
        <f t="shared" si="25"/>
        <v>0</v>
      </c>
      <c r="X65" s="67">
        <f t="shared" si="25"/>
        <v>0</v>
      </c>
      <c r="Y65" s="67">
        <f t="shared" si="25"/>
        <v>0</v>
      </c>
      <c r="Z65" s="1208"/>
      <c r="AA65" s="1201">
        <f t="shared" si="27"/>
        <v>0</v>
      </c>
      <c r="AB65" s="67">
        <f t="shared" si="27"/>
        <v>0</v>
      </c>
      <c r="AC65" s="67">
        <f t="shared" si="27"/>
        <v>0</v>
      </c>
      <c r="AD65" s="67">
        <f t="shared" si="27"/>
        <v>0</v>
      </c>
      <c r="AE65" s="67">
        <f t="shared" si="27"/>
        <v>0</v>
      </c>
      <c r="AF65" s="67">
        <f t="shared" si="27"/>
        <v>0</v>
      </c>
      <c r="AG65" s="67">
        <f t="shared" si="27"/>
        <v>0</v>
      </c>
      <c r="AH65" s="67">
        <f t="shared" si="27"/>
        <v>0</v>
      </c>
      <c r="AI65" s="67">
        <f t="shared" si="27"/>
        <v>0</v>
      </c>
      <c r="AJ65" s="187"/>
      <c r="AK65" s="77"/>
    </row>
    <row r="66" spans="2:37" x14ac:dyDescent="0.2">
      <c r="B66" s="75"/>
      <c r="C66" s="187"/>
      <c r="D66" s="150"/>
      <c r="E66" s="150"/>
      <c r="F66" s="151"/>
      <c r="G66" s="66"/>
      <c r="H66" s="151"/>
      <c r="I66" s="151"/>
      <c r="J66" s="187"/>
      <c r="K66" s="70">
        <f t="shared" si="18"/>
        <v>0</v>
      </c>
      <c r="L66" s="67">
        <f t="shared" si="19"/>
        <v>0</v>
      </c>
      <c r="M66" s="67">
        <f t="shared" si="20"/>
        <v>0</v>
      </c>
      <c r="N66" s="533" t="str">
        <f t="shared" si="21"/>
        <v>-</v>
      </c>
      <c r="O66" s="67">
        <f t="shared" si="22"/>
        <v>0</v>
      </c>
      <c r="P66" s="187"/>
      <c r="Q66" s="67">
        <f t="shared" si="24"/>
        <v>0</v>
      </c>
      <c r="R66" s="67">
        <f t="shared" si="24"/>
        <v>0</v>
      </c>
      <c r="S66" s="67">
        <f t="shared" si="23"/>
        <v>0</v>
      </c>
      <c r="T66" s="67">
        <f t="shared" si="25"/>
        <v>0</v>
      </c>
      <c r="U66" s="67">
        <f t="shared" si="25"/>
        <v>0</v>
      </c>
      <c r="V66" s="67">
        <f t="shared" si="25"/>
        <v>0</v>
      </c>
      <c r="W66" s="67">
        <f t="shared" si="25"/>
        <v>0</v>
      </c>
      <c r="X66" s="67">
        <f t="shared" si="25"/>
        <v>0</v>
      </c>
      <c r="Y66" s="67">
        <f t="shared" si="25"/>
        <v>0</v>
      </c>
      <c r="Z66" s="1208"/>
      <c r="AA66" s="1201">
        <f t="shared" si="27"/>
        <v>0</v>
      </c>
      <c r="AB66" s="67">
        <f t="shared" si="27"/>
        <v>0</v>
      </c>
      <c r="AC66" s="67">
        <f t="shared" si="27"/>
        <v>0</v>
      </c>
      <c r="AD66" s="67">
        <f t="shared" si="27"/>
        <v>0</v>
      </c>
      <c r="AE66" s="67">
        <f t="shared" si="27"/>
        <v>0</v>
      </c>
      <c r="AF66" s="67">
        <f t="shared" si="27"/>
        <v>0</v>
      </c>
      <c r="AG66" s="67">
        <f t="shared" si="27"/>
        <v>0</v>
      </c>
      <c r="AH66" s="67">
        <f t="shared" si="27"/>
        <v>0</v>
      </c>
      <c r="AI66" s="67">
        <f t="shared" si="27"/>
        <v>0</v>
      </c>
      <c r="AJ66" s="187"/>
      <c r="AK66" s="77"/>
    </row>
    <row r="67" spans="2:37" x14ac:dyDescent="0.2">
      <c r="B67" s="75"/>
      <c r="C67" s="187"/>
      <c r="D67" s="150"/>
      <c r="E67" s="150"/>
      <c r="F67" s="151"/>
      <c r="G67" s="66"/>
      <c r="H67" s="151"/>
      <c r="I67" s="151"/>
      <c r="J67" s="187"/>
      <c r="K67" s="70">
        <f t="shared" si="18"/>
        <v>0</v>
      </c>
      <c r="L67" s="67">
        <f t="shared" si="19"/>
        <v>0</v>
      </c>
      <c r="M67" s="67">
        <f t="shared" si="20"/>
        <v>0</v>
      </c>
      <c r="N67" s="533" t="str">
        <f t="shared" si="21"/>
        <v>-</v>
      </c>
      <c r="O67" s="67">
        <f t="shared" si="22"/>
        <v>0</v>
      </c>
      <c r="P67" s="187"/>
      <c r="Q67" s="67">
        <f t="shared" si="24"/>
        <v>0</v>
      </c>
      <c r="R67" s="67">
        <f t="shared" si="24"/>
        <v>0</v>
      </c>
      <c r="S67" s="67">
        <f t="shared" si="23"/>
        <v>0</v>
      </c>
      <c r="T67" s="67">
        <f t="shared" si="25"/>
        <v>0</v>
      </c>
      <c r="U67" s="67">
        <f t="shared" si="25"/>
        <v>0</v>
      </c>
      <c r="V67" s="67">
        <f t="shared" si="25"/>
        <v>0</v>
      </c>
      <c r="W67" s="67">
        <f t="shared" si="25"/>
        <v>0</v>
      </c>
      <c r="X67" s="67">
        <f t="shared" si="25"/>
        <v>0</v>
      </c>
      <c r="Y67" s="67">
        <f t="shared" si="25"/>
        <v>0</v>
      </c>
      <c r="Z67" s="1208"/>
      <c r="AA67" s="1201">
        <f t="shared" si="27"/>
        <v>0</v>
      </c>
      <c r="AB67" s="67">
        <f t="shared" si="27"/>
        <v>0</v>
      </c>
      <c r="AC67" s="67">
        <f t="shared" si="27"/>
        <v>0</v>
      </c>
      <c r="AD67" s="67">
        <f t="shared" si="27"/>
        <v>0</v>
      </c>
      <c r="AE67" s="67">
        <f t="shared" si="27"/>
        <v>0</v>
      </c>
      <c r="AF67" s="67">
        <f t="shared" si="27"/>
        <v>0</v>
      </c>
      <c r="AG67" s="67">
        <f t="shared" si="27"/>
        <v>0</v>
      </c>
      <c r="AH67" s="67">
        <f t="shared" si="27"/>
        <v>0</v>
      </c>
      <c r="AI67" s="67">
        <f t="shared" si="27"/>
        <v>0</v>
      </c>
      <c r="AJ67" s="187"/>
      <c r="AK67" s="77"/>
    </row>
    <row r="68" spans="2:37" x14ac:dyDescent="0.2">
      <c r="B68" s="75"/>
      <c r="C68" s="187"/>
      <c r="D68" s="150"/>
      <c r="E68" s="150"/>
      <c r="F68" s="151"/>
      <c r="G68" s="66"/>
      <c r="H68" s="151"/>
      <c r="I68" s="151"/>
      <c r="J68" s="187"/>
      <c r="K68" s="70">
        <f t="shared" si="18"/>
        <v>0</v>
      </c>
      <c r="L68" s="67">
        <f t="shared" si="19"/>
        <v>0</v>
      </c>
      <c r="M68" s="67">
        <f t="shared" si="20"/>
        <v>0</v>
      </c>
      <c r="N68" s="533" t="str">
        <f t="shared" si="21"/>
        <v>-</v>
      </c>
      <c r="O68" s="67">
        <f t="shared" si="22"/>
        <v>0</v>
      </c>
      <c r="P68" s="187"/>
      <c r="Q68" s="67">
        <f t="shared" si="24"/>
        <v>0</v>
      </c>
      <c r="R68" s="67">
        <f t="shared" si="24"/>
        <v>0</v>
      </c>
      <c r="S68" s="67">
        <f t="shared" si="23"/>
        <v>0</v>
      </c>
      <c r="T68" s="67">
        <f t="shared" si="25"/>
        <v>0</v>
      </c>
      <c r="U68" s="67">
        <f t="shared" si="25"/>
        <v>0</v>
      </c>
      <c r="V68" s="67">
        <f t="shared" si="25"/>
        <v>0</v>
      </c>
      <c r="W68" s="67">
        <f t="shared" si="25"/>
        <v>0</v>
      </c>
      <c r="X68" s="67">
        <f t="shared" si="25"/>
        <v>0</v>
      </c>
      <c r="Y68" s="67">
        <f t="shared" si="25"/>
        <v>0</v>
      </c>
      <c r="Z68" s="1208"/>
      <c r="AA68" s="1201">
        <f t="shared" si="27"/>
        <v>0</v>
      </c>
      <c r="AB68" s="67">
        <f t="shared" si="27"/>
        <v>0</v>
      </c>
      <c r="AC68" s="67">
        <f t="shared" si="27"/>
        <v>0</v>
      </c>
      <c r="AD68" s="67">
        <f t="shared" si="27"/>
        <v>0</v>
      </c>
      <c r="AE68" s="67">
        <f t="shared" si="27"/>
        <v>0</v>
      </c>
      <c r="AF68" s="67">
        <f t="shared" si="27"/>
        <v>0</v>
      </c>
      <c r="AG68" s="67">
        <f t="shared" si="27"/>
        <v>0</v>
      </c>
      <c r="AH68" s="67">
        <f t="shared" si="27"/>
        <v>0</v>
      </c>
      <c r="AI68" s="67">
        <f t="shared" si="27"/>
        <v>0</v>
      </c>
      <c r="AJ68" s="187"/>
      <c r="AK68" s="77"/>
    </row>
    <row r="69" spans="2:37" x14ac:dyDescent="0.2">
      <c r="B69" s="75"/>
      <c r="C69" s="187"/>
      <c r="D69" s="150"/>
      <c r="E69" s="150"/>
      <c r="F69" s="151"/>
      <c r="G69" s="66"/>
      <c r="H69" s="151"/>
      <c r="I69" s="151"/>
      <c r="J69" s="187"/>
      <c r="K69" s="70">
        <f t="shared" si="18"/>
        <v>0</v>
      </c>
      <c r="L69" s="67">
        <f t="shared" si="19"/>
        <v>0</v>
      </c>
      <c r="M69" s="67">
        <f t="shared" si="20"/>
        <v>0</v>
      </c>
      <c r="N69" s="533" t="str">
        <f t="shared" si="21"/>
        <v>-</v>
      </c>
      <c r="O69" s="67">
        <f t="shared" si="22"/>
        <v>0</v>
      </c>
      <c r="P69" s="187"/>
      <c r="Q69" s="67">
        <f t="shared" si="24"/>
        <v>0</v>
      </c>
      <c r="R69" s="67">
        <f t="shared" si="24"/>
        <v>0</v>
      </c>
      <c r="S69" s="67">
        <f t="shared" si="23"/>
        <v>0</v>
      </c>
      <c r="T69" s="67">
        <f t="shared" si="25"/>
        <v>0</v>
      </c>
      <c r="U69" s="67">
        <f t="shared" si="25"/>
        <v>0</v>
      </c>
      <c r="V69" s="67">
        <f t="shared" si="25"/>
        <v>0</v>
      </c>
      <c r="W69" s="67">
        <f t="shared" si="25"/>
        <v>0</v>
      </c>
      <c r="X69" s="67">
        <f t="shared" si="25"/>
        <v>0</v>
      </c>
      <c r="Y69" s="67">
        <f t="shared" si="25"/>
        <v>0</v>
      </c>
      <c r="Z69" s="1208"/>
      <c r="AA69" s="1201">
        <f t="shared" si="27"/>
        <v>0</v>
      </c>
      <c r="AB69" s="67">
        <f t="shared" si="27"/>
        <v>0</v>
      </c>
      <c r="AC69" s="67">
        <f t="shared" si="27"/>
        <v>0</v>
      </c>
      <c r="AD69" s="67">
        <f t="shared" si="27"/>
        <v>0</v>
      </c>
      <c r="AE69" s="67">
        <f t="shared" si="27"/>
        <v>0</v>
      </c>
      <c r="AF69" s="67">
        <f t="shared" si="27"/>
        <v>0</v>
      </c>
      <c r="AG69" s="67">
        <f t="shared" si="27"/>
        <v>0</v>
      </c>
      <c r="AH69" s="67">
        <f t="shared" si="27"/>
        <v>0</v>
      </c>
      <c r="AI69" s="67">
        <f t="shared" si="27"/>
        <v>0</v>
      </c>
      <c r="AJ69" s="187"/>
      <c r="AK69" s="77"/>
    </row>
    <row r="70" spans="2:37" x14ac:dyDescent="0.2">
      <c r="B70" s="75"/>
      <c r="C70" s="187"/>
      <c r="D70" s="70"/>
      <c r="E70" s="70"/>
      <c r="F70" s="70"/>
      <c r="G70" s="70"/>
      <c r="H70" s="70"/>
      <c r="I70" s="70"/>
      <c r="J70" s="187"/>
      <c r="K70" s="70">
        <f t="shared" si="18"/>
        <v>0</v>
      </c>
      <c r="L70" s="534">
        <f t="shared" si="19"/>
        <v>0</v>
      </c>
      <c r="M70" s="534">
        <f t="shared" si="20"/>
        <v>0</v>
      </c>
      <c r="N70" s="535" t="str">
        <f t="shared" si="21"/>
        <v>-</v>
      </c>
      <c r="O70" s="534">
        <f t="shared" si="22"/>
        <v>0</v>
      </c>
      <c r="P70" s="187"/>
      <c r="Q70" s="534">
        <f t="shared" si="24"/>
        <v>0</v>
      </c>
      <c r="R70" s="534">
        <f t="shared" si="24"/>
        <v>0</v>
      </c>
      <c r="S70" s="534">
        <f>(IF(S$8&lt;$H70,0,IF($N70&lt;=S$8-1,0,$M70)))</f>
        <v>0</v>
      </c>
      <c r="T70" s="534">
        <f t="shared" si="25"/>
        <v>0</v>
      </c>
      <c r="U70" s="534">
        <f t="shared" si="25"/>
        <v>0</v>
      </c>
      <c r="V70" s="534">
        <f t="shared" si="25"/>
        <v>0</v>
      </c>
      <c r="W70" s="534">
        <f t="shared" si="25"/>
        <v>0</v>
      </c>
      <c r="X70" s="534">
        <f t="shared" si="25"/>
        <v>0</v>
      </c>
      <c r="Y70" s="534">
        <f t="shared" si="25"/>
        <v>0</v>
      </c>
      <c r="Z70" s="1208"/>
      <c r="AA70" s="1202">
        <f t="shared" si="27"/>
        <v>0</v>
      </c>
      <c r="AB70" s="534">
        <f t="shared" si="27"/>
        <v>0</v>
      </c>
      <c r="AC70" s="534">
        <f t="shared" si="27"/>
        <v>0</v>
      </c>
      <c r="AD70" s="534">
        <f t="shared" si="27"/>
        <v>0</v>
      </c>
      <c r="AE70" s="534">
        <f t="shared" si="27"/>
        <v>0</v>
      </c>
      <c r="AF70" s="534">
        <f t="shared" si="27"/>
        <v>0</v>
      </c>
      <c r="AG70" s="534">
        <f t="shared" si="27"/>
        <v>0</v>
      </c>
      <c r="AH70" s="534">
        <f t="shared" si="27"/>
        <v>0</v>
      </c>
      <c r="AI70" s="534">
        <f t="shared" si="27"/>
        <v>0</v>
      </c>
      <c r="AJ70" s="187"/>
      <c r="AK70" s="77"/>
    </row>
    <row r="71" spans="2:37" x14ac:dyDescent="0.2">
      <c r="B71" s="75"/>
      <c r="C71" s="187"/>
      <c r="D71" s="49"/>
      <c r="E71" s="49"/>
      <c r="F71" s="70"/>
      <c r="G71" s="218"/>
      <c r="H71" s="70"/>
      <c r="I71" s="70"/>
      <c r="J71" s="187"/>
      <c r="K71" s="70"/>
      <c r="L71" s="218"/>
      <c r="M71" s="218"/>
      <c r="N71" s="421"/>
      <c r="O71" s="218"/>
      <c r="P71" s="187"/>
      <c r="Q71" s="218"/>
      <c r="R71" s="218"/>
      <c r="S71" s="218"/>
      <c r="T71" s="218"/>
      <c r="U71" s="218"/>
      <c r="V71" s="218"/>
      <c r="W71" s="218"/>
      <c r="X71" s="218"/>
      <c r="Y71" s="218"/>
      <c r="Z71" s="1208"/>
      <c r="AA71" s="1203"/>
      <c r="AB71" s="218"/>
      <c r="AC71" s="218"/>
      <c r="AD71" s="218"/>
      <c r="AE71" s="218"/>
      <c r="AF71" s="218"/>
      <c r="AG71" s="218"/>
      <c r="AH71" s="218"/>
      <c r="AI71" s="218"/>
      <c r="AJ71" s="187"/>
      <c r="AK71" s="77"/>
    </row>
    <row r="72" spans="2:37" x14ac:dyDescent="0.2">
      <c r="B72" s="85"/>
      <c r="C72" s="82"/>
      <c r="D72" s="134"/>
      <c r="E72" s="134"/>
      <c r="F72" s="83"/>
      <c r="G72" s="83"/>
      <c r="H72" s="83"/>
      <c r="I72" s="83"/>
      <c r="J72" s="82"/>
      <c r="K72" s="82"/>
      <c r="L72" s="82"/>
      <c r="M72" s="82"/>
      <c r="N72" s="82"/>
      <c r="O72" s="82"/>
      <c r="P72" s="82"/>
      <c r="Q72" s="82"/>
      <c r="R72" s="82"/>
      <c r="S72" s="82"/>
      <c r="T72" s="82"/>
      <c r="U72" s="82"/>
      <c r="V72" s="82"/>
      <c r="W72" s="82"/>
      <c r="X72" s="82"/>
      <c r="Y72" s="82"/>
      <c r="Z72" s="1209"/>
      <c r="AA72" s="1204"/>
      <c r="AB72" s="82"/>
      <c r="AC72" s="82"/>
      <c r="AD72" s="82"/>
      <c r="AE72" s="82"/>
      <c r="AF72" s="82"/>
      <c r="AG72" s="82"/>
      <c r="AH72" s="82"/>
      <c r="AI72" s="82"/>
      <c r="AJ72" s="82"/>
      <c r="AK72" s="84"/>
    </row>
  </sheetData>
  <sheetProtection algorithmName="SHA-512" hashValue="kN/zRnCKCX4vG+6EdoY94w5xWkoenMZvLYk6VOGYiJWKxnTcb2t9db4JrvluVn09x9+Y/ozi/c16mzFb7IUd5Q==" saltValue="B9PuBgs3v9DN/4RRRes8vA==" spinCount="100000" sheet="1" objects="1" scenarios="1"/>
  <phoneticPr fontId="0" type="noConversion"/>
  <dataValidations count="3">
    <dataValidation type="list" allowBlank="1" showInputMessage="1" showErrorMessage="1" sqref="D70:H70 I14:I71" xr:uid="{00000000-0002-0000-0900-000000000000}">
      <formula1>"geen,1,2,3,4,5,6,7,8,9,10,11,12,13,14,15,16,17,18,19,20,21,22,23,24,25,26,27,28,29,30,31,32,33,34,35,36,37,38,39,40,41,42,43,44,45,46,47,48,49,50"</formula1>
    </dataValidation>
    <dataValidation type="list" allowBlank="1" showInputMessage="1" showErrorMessage="1" sqref="D71" xr:uid="{00000000-0002-0000-0900-000001000000}">
      <formula1>"gebouwen en terreinen, inventaris en apparatuur, leermiddelen PO, overige materiële vaste activa"</formula1>
    </dataValidation>
    <dataValidation type="list" allowBlank="1" showInputMessage="1" showErrorMessage="1" sqref="D14:D69" xr:uid="{00000000-0002-0000-0900-000002000000}">
      <formula1>"gebouwen en terreinen, inventaris en apparatuur, leermiddelen, overige materiële vaste activa"</formula1>
    </dataValidation>
  </dataValidations>
  <pageMargins left="0.75" right="0.75" top="1" bottom="1" header="0.5" footer="0.5"/>
  <pageSetup paperSize="9" scale="50" orientation="landscape" r:id="rId1"/>
  <headerFooter alignWithMargins="0">
    <oddHeader>&amp;L&amp;"Arial,Vet"&amp;9&amp;F&amp;R&amp;"Arial,Vet"&amp;9&amp;A</oddHeader>
    <oddFooter>&amp;L&amp;"Arial,Vet"&amp;9be.keizer@wxs.nl&amp;C&amp;"Arial,Vet"&amp;9pagina &amp;P&amp;R&amp;"Arial,Vet"&amp;9&amp;D</oddFooter>
  </headerFooter>
  <colBreaks count="1" manualBreakCount="1">
    <brk id="26" min="1" max="71"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X46"/>
  <sheetViews>
    <sheetView showGridLines="0" zoomScale="85" zoomScaleNormal="85" workbookViewId="0">
      <selection activeCell="B2" sqref="B2"/>
    </sheetView>
  </sheetViews>
  <sheetFormatPr defaultRowHeight="12.75" x14ac:dyDescent="0.2"/>
  <cols>
    <col min="1" max="1" width="3.7109375" style="109" customWidth="1"/>
    <col min="2" max="2" width="2.7109375" style="109" customWidth="1"/>
    <col min="3" max="3" width="2.5703125" style="109" customWidth="1"/>
    <col min="4" max="4" width="33.28515625" style="109" customWidth="1"/>
    <col min="5" max="5" width="2.7109375" style="109" customWidth="1"/>
    <col min="6" max="10" width="15.7109375" style="109" customWidth="1"/>
    <col min="11" max="13" width="15.7109375" style="109" hidden="1" customWidth="1"/>
    <col min="14" max="15" width="2.7109375" style="109" customWidth="1"/>
    <col min="16" max="16" width="5.7109375" style="109" customWidth="1"/>
    <col min="17" max="17" width="2.7109375" style="109" customWidth="1"/>
    <col min="18" max="18" width="12.7109375" style="422" customWidth="1"/>
    <col min="19" max="20" width="12.7109375" style="423" customWidth="1"/>
    <col min="21" max="22" width="10.7109375" style="423" customWidth="1"/>
    <col min="23" max="23" width="2.7109375" style="109" customWidth="1"/>
    <col min="24" max="16384" width="9.140625" style="109"/>
  </cols>
  <sheetData>
    <row r="2" spans="2:24" x14ac:dyDescent="0.2">
      <c r="B2" s="71"/>
      <c r="C2" s="72"/>
      <c r="D2" s="72"/>
      <c r="E2" s="72"/>
      <c r="F2" s="72"/>
      <c r="G2" s="72"/>
      <c r="H2" s="72"/>
      <c r="I2" s="72"/>
      <c r="J2" s="72"/>
      <c r="K2" s="72"/>
      <c r="L2" s="72"/>
      <c r="M2" s="72"/>
      <c r="N2" s="72"/>
      <c r="O2" s="74"/>
    </row>
    <row r="3" spans="2:24" x14ac:dyDescent="0.2">
      <c r="B3" s="75"/>
      <c r="C3" s="76"/>
      <c r="D3" s="76"/>
      <c r="E3" s="76"/>
      <c r="F3" s="76"/>
      <c r="G3" s="76"/>
      <c r="H3" s="76"/>
      <c r="I3" s="76"/>
      <c r="J3" s="76"/>
      <c r="K3" s="76"/>
      <c r="L3" s="76"/>
      <c r="M3" s="76"/>
      <c r="N3" s="76"/>
      <c r="O3" s="77"/>
    </row>
    <row r="4" spans="2:24" s="167" customFormat="1" ht="18" customHeight="1" x14ac:dyDescent="0.3">
      <c r="B4" s="406"/>
      <c r="C4" s="580" t="s">
        <v>47</v>
      </c>
      <c r="D4" s="173"/>
      <c r="E4" s="174"/>
      <c r="F4" s="174"/>
      <c r="G4" s="174"/>
      <c r="H4" s="174"/>
      <c r="I4" s="174"/>
      <c r="J4" s="174"/>
      <c r="K4" s="174"/>
      <c r="L4" s="174"/>
      <c r="M4" s="174"/>
      <c r="N4" s="174"/>
      <c r="O4" s="176"/>
    </row>
    <row r="5" spans="2:24" s="424" customFormat="1" ht="18" customHeight="1" x14ac:dyDescent="0.3">
      <c r="B5" s="427"/>
      <c r="C5" s="1360" t="str">
        <f>'geg ll'!C5</f>
        <v>Voorbeeld SWV VO Alkmaar</v>
      </c>
      <c r="D5" s="429"/>
      <c r="E5" s="47"/>
      <c r="F5" s="47"/>
      <c r="G5" s="47"/>
      <c r="H5" s="47"/>
      <c r="I5" s="47"/>
      <c r="J5" s="47"/>
      <c r="K5" s="47"/>
      <c r="L5" s="47"/>
      <c r="M5" s="47"/>
      <c r="N5" s="47"/>
      <c r="O5" s="48"/>
    </row>
    <row r="6" spans="2:24" s="208" customFormat="1" x14ac:dyDescent="0.2">
      <c r="B6" s="211"/>
      <c r="C6" s="212"/>
      <c r="D6" s="212"/>
      <c r="E6" s="212"/>
      <c r="F6" s="212"/>
      <c r="G6" s="212"/>
      <c r="H6" s="212"/>
      <c r="I6" s="212"/>
      <c r="J6" s="212"/>
      <c r="K6" s="212"/>
      <c r="L6" s="212"/>
      <c r="M6" s="212"/>
      <c r="N6" s="212"/>
      <c r="O6" s="213"/>
      <c r="R6" s="425"/>
    </row>
    <row r="7" spans="2:24" s="208" customFormat="1" x14ac:dyDescent="0.2">
      <c r="B7" s="211"/>
      <c r="C7" s="212"/>
      <c r="D7" s="212"/>
      <c r="E7" s="212"/>
      <c r="F7" s="212"/>
      <c r="G7" s="430"/>
      <c r="H7" s="212"/>
      <c r="I7" s="212"/>
      <c r="J7" s="212"/>
      <c r="K7" s="212"/>
      <c r="L7" s="212"/>
      <c r="M7" s="212"/>
      <c r="N7" s="212"/>
      <c r="O7" s="213"/>
      <c r="R7" s="425"/>
    </row>
    <row r="8" spans="2:24" s="208" customFormat="1" x14ac:dyDescent="0.2">
      <c r="B8" s="211"/>
      <c r="C8" s="212"/>
      <c r="D8" s="212"/>
      <c r="E8" s="212"/>
      <c r="F8" s="560">
        <f>mip!Q8</f>
        <v>2020</v>
      </c>
      <c r="G8" s="560">
        <f>mip!R8</f>
        <v>2021</v>
      </c>
      <c r="H8" s="560">
        <f>mip!S8</f>
        <v>2022</v>
      </c>
      <c r="I8" s="560">
        <f>mip!T8</f>
        <v>2023</v>
      </c>
      <c r="J8" s="560">
        <f>mip!U8</f>
        <v>2024</v>
      </c>
      <c r="K8" s="560">
        <f>mip!V8</f>
        <v>2025</v>
      </c>
      <c r="L8" s="560">
        <f>mip!W8</f>
        <v>2026</v>
      </c>
      <c r="M8" s="560">
        <f>mip!X8</f>
        <v>2027</v>
      </c>
      <c r="N8" s="212"/>
      <c r="O8" s="213"/>
      <c r="R8" s="425"/>
    </row>
    <row r="9" spans="2:24" x14ac:dyDescent="0.2">
      <c r="B9" s="75"/>
      <c r="C9" s="76"/>
      <c r="D9" s="76"/>
      <c r="E9" s="76"/>
      <c r="F9" s="76"/>
      <c r="G9" s="76"/>
      <c r="H9" s="76"/>
      <c r="I9" s="76"/>
      <c r="J9" s="76"/>
      <c r="K9" s="76"/>
      <c r="L9" s="76"/>
      <c r="M9" s="76"/>
      <c r="N9" s="76"/>
      <c r="O9" s="77"/>
    </row>
    <row r="10" spans="2:24" x14ac:dyDescent="0.2">
      <c r="B10" s="75"/>
      <c r="C10" s="187"/>
      <c r="D10" s="187"/>
      <c r="E10" s="187"/>
      <c r="F10" s="187"/>
      <c r="G10" s="187"/>
      <c r="H10" s="187"/>
      <c r="I10" s="187"/>
      <c r="J10" s="187"/>
      <c r="K10" s="187"/>
      <c r="L10" s="187"/>
      <c r="M10" s="187"/>
      <c r="N10" s="187"/>
      <c r="O10" s="77"/>
      <c r="S10" s="422"/>
      <c r="T10" s="422"/>
      <c r="U10" s="422"/>
      <c r="W10" s="422"/>
      <c r="X10" s="422"/>
    </row>
    <row r="11" spans="2:24" x14ac:dyDescent="0.2">
      <c r="B11" s="75"/>
      <c r="C11" s="187"/>
      <c r="D11" s="431" t="s">
        <v>745</v>
      </c>
      <c r="E11" s="187"/>
      <c r="F11" s="187"/>
      <c r="G11" s="187"/>
      <c r="H11" s="187"/>
      <c r="I11" s="187"/>
      <c r="J11" s="187"/>
      <c r="K11" s="187"/>
      <c r="L11" s="187"/>
      <c r="M11" s="187"/>
      <c r="N11" s="187"/>
      <c r="O11" s="77"/>
      <c r="S11" s="422"/>
      <c r="T11" s="422"/>
      <c r="U11" s="422"/>
      <c r="W11" s="422"/>
      <c r="X11" s="422"/>
    </row>
    <row r="12" spans="2:24" x14ac:dyDescent="0.2">
      <c r="B12" s="75"/>
      <c r="C12" s="187"/>
      <c r="D12" s="49" t="s">
        <v>101</v>
      </c>
      <c r="E12" s="187"/>
      <c r="F12" s="517">
        <v>0</v>
      </c>
      <c r="G12" s="522">
        <f t="shared" ref="G12:I15" si="0">F39</f>
        <v>0</v>
      </c>
      <c r="H12" s="522">
        <f t="shared" si="0"/>
        <v>0</v>
      </c>
      <c r="I12" s="522">
        <f t="shared" si="0"/>
        <v>0</v>
      </c>
      <c r="J12" s="522">
        <f t="shared" ref="J12:M15" si="1">I39</f>
        <v>0</v>
      </c>
      <c r="K12" s="522">
        <f t="shared" si="1"/>
        <v>0</v>
      </c>
      <c r="L12" s="522">
        <f t="shared" si="1"/>
        <v>0</v>
      </c>
      <c r="M12" s="522">
        <f t="shared" si="1"/>
        <v>0</v>
      </c>
      <c r="N12" s="187"/>
      <c r="O12" s="77"/>
      <c r="S12" s="422"/>
      <c r="T12" s="422"/>
      <c r="U12" s="422"/>
      <c r="W12" s="422"/>
      <c r="X12" s="422"/>
    </row>
    <row r="13" spans="2:24" x14ac:dyDescent="0.2">
      <c r="B13" s="75"/>
      <c r="C13" s="187"/>
      <c r="D13" s="49" t="s">
        <v>103</v>
      </c>
      <c r="E13" s="187"/>
      <c r="F13" s="517">
        <v>27750</v>
      </c>
      <c r="G13" s="522">
        <f t="shared" si="0"/>
        <v>13875</v>
      </c>
      <c r="H13" s="522">
        <f t="shared" si="0"/>
        <v>0</v>
      </c>
      <c r="I13" s="522">
        <f t="shared" si="0"/>
        <v>41625</v>
      </c>
      <c r="J13" s="522">
        <f t="shared" si="1"/>
        <v>27750</v>
      </c>
      <c r="K13" s="522">
        <f t="shared" si="1"/>
        <v>13875</v>
      </c>
      <c r="L13" s="522">
        <f t="shared" si="1"/>
        <v>0</v>
      </c>
      <c r="M13" s="522">
        <f t="shared" si="1"/>
        <v>0</v>
      </c>
      <c r="N13" s="187"/>
      <c r="O13" s="77"/>
      <c r="S13" s="422"/>
      <c r="T13" s="422"/>
      <c r="U13" s="422"/>
      <c r="W13" s="422"/>
      <c r="X13" s="422"/>
    </row>
    <row r="14" spans="2:24" x14ac:dyDescent="0.2">
      <c r="B14" s="75"/>
      <c r="C14" s="187"/>
      <c r="D14" s="49" t="s">
        <v>97</v>
      </c>
      <c r="E14" s="187"/>
      <c r="F14" s="517">
        <v>0</v>
      </c>
      <c r="G14" s="522">
        <f t="shared" si="0"/>
        <v>0</v>
      </c>
      <c r="H14" s="522">
        <f t="shared" si="0"/>
        <v>0</v>
      </c>
      <c r="I14" s="522">
        <f t="shared" si="0"/>
        <v>0</v>
      </c>
      <c r="J14" s="522">
        <f t="shared" si="1"/>
        <v>0</v>
      </c>
      <c r="K14" s="522">
        <f t="shared" si="1"/>
        <v>0</v>
      </c>
      <c r="L14" s="522">
        <f t="shared" si="1"/>
        <v>0</v>
      </c>
      <c r="M14" s="522">
        <f t="shared" si="1"/>
        <v>0</v>
      </c>
      <c r="N14" s="187"/>
      <c r="O14" s="77"/>
      <c r="S14" s="422"/>
      <c r="T14" s="422"/>
      <c r="U14" s="422"/>
      <c r="W14" s="422"/>
      <c r="X14" s="422"/>
    </row>
    <row r="15" spans="2:24" x14ac:dyDescent="0.2">
      <c r="B15" s="75"/>
      <c r="C15" s="187"/>
      <c r="D15" s="49" t="s">
        <v>104</v>
      </c>
      <c r="E15" s="187"/>
      <c r="F15" s="517">
        <v>0</v>
      </c>
      <c r="G15" s="522">
        <f t="shared" si="0"/>
        <v>0</v>
      </c>
      <c r="H15" s="522">
        <f t="shared" si="0"/>
        <v>0</v>
      </c>
      <c r="I15" s="522">
        <f t="shared" si="0"/>
        <v>0</v>
      </c>
      <c r="J15" s="522">
        <f t="shared" si="1"/>
        <v>0</v>
      </c>
      <c r="K15" s="522">
        <f t="shared" si="1"/>
        <v>0</v>
      </c>
      <c r="L15" s="522">
        <f t="shared" si="1"/>
        <v>0</v>
      </c>
      <c r="M15" s="522">
        <f t="shared" si="1"/>
        <v>0</v>
      </c>
      <c r="N15" s="187"/>
      <c r="O15" s="77"/>
      <c r="S15" s="422"/>
      <c r="T15" s="422"/>
      <c r="U15" s="422"/>
      <c r="W15" s="422"/>
      <c r="X15" s="422"/>
    </row>
    <row r="16" spans="2:24" x14ac:dyDescent="0.2">
      <c r="B16" s="75"/>
      <c r="C16" s="187"/>
      <c r="D16" s="432"/>
      <c r="E16" s="187"/>
      <c r="F16" s="536">
        <f t="shared" ref="F16:M16" si="2">SUM(F12:F15)</f>
        <v>27750</v>
      </c>
      <c r="G16" s="536">
        <f t="shared" si="2"/>
        <v>13875</v>
      </c>
      <c r="H16" s="536">
        <f t="shared" si="2"/>
        <v>0</v>
      </c>
      <c r="I16" s="536">
        <f t="shared" si="2"/>
        <v>41625</v>
      </c>
      <c r="J16" s="536">
        <f t="shared" si="2"/>
        <v>27750</v>
      </c>
      <c r="K16" s="536">
        <f t="shared" si="2"/>
        <v>13875</v>
      </c>
      <c r="L16" s="536">
        <f t="shared" si="2"/>
        <v>0</v>
      </c>
      <c r="M16" s="536">
        <f t="shared" si="2"/>
        <v>0</v>
      </c>
      <c r="N16" s="187"/>
      <c r="O16" s="77"/>
      <c r="R16" s="423"/>
      <c r="W16" s="423"/>
      <c r="X16" s="423"/>
    </row>
    <row r="17" spans="2:24" x14ac:dyDescent="0.2">
      <c r="B17" s="75"/>
      <c r="C17" s="187"/>
      <c r="D17" s="92"/>
      <c r="E17" s="187"/>
      <c r="F17" s="187"/>
      <c r="G17" s="187"/>
      <c r="H17" s="187"/>
      <c r="I17" s="187"/>
      <c r="J17" s="187"/>
      <c r="K17" s="187"/>
      <c r="L17" s="187"/>
      <c r="M17" s="187"/>
      <c r="N17" s="187"/>
      <c r="O17" s="77"/>
      <c r="S17" s="422"/>
      <c r="T17" s="422"/>
      <c r="U17" s="422"/>
      <c r="W17" s="422"/>
      <c r="X17" s="422"/>
    </row>
    <row r="18" spans="2:24" x14ac:dyDescent="0.2">
      <c r="B18" s="75"/>
      <c r="C18" s="76"/>
      <c r="D18" s="76"/>
      <c r="E18" s="76"/>
      <c r="F18" s="76"/>
      <c r="G18" s="76"/>
      <c r="H18" s="76"/>
      <c r="I18" s="76"/>
      <c r="J18" s="76"/>
      <c r="K18" s="76"/>
      <c r="L18" s="76"/>
      <c r="M18" s="76"/>
      <c r="N18" s="76"/>
      <c r="O18" s="77"/>
      <c r="S18" s="422"/>
      <c r="T18" s="422"/>
      <c r="U18" s="422"/>
      <c r="W18" s="422"/>
      <c r="X18" s="422"/>
    </row>
    <row r="19" spans="2:24" x14ac:dyDescent="0.2">
      <c r="B19" s="75"/>
      <c r="C19" s="187"/>
      <c r="D19" s="187"/>
      <c r="E19" s="187"/>
      <c r="F19" s="187"/>
      <c r="G19" s="187"/>
      <c r="H19" s="187"/>
      <c r="I19" s="187"/>
      <c r="J19" s="187"/>
      <c r="K19" s="187"/>
      <c r="L19" s="187"/>
      <c r="M19" s="187"/>
      <c r="N19" s="187"/>
      <c r="O19" s="77"/>
      <c r="S19" s="422"/>
      <c r="T19" s="422"/>
      <c r="U19" s="422"/>
      <c r="W19" s="422"/>
      <c r="X19" s="422"/>
    </row>
    <row r="20" spans="2:24" x14ac:dyDescent="0.2">
      <c r="B20" s="75"/>
      <c r="C20" s="187"/>
      <c r="D20" s="578" t="s">
        <v>155</v>
      </c>
      <c r="E20" s="187"/>
      <c r="F20" s="187"/>
      <c r="G20" s="187"/>
      <c r="H20" s="187"/>
      <c r="I20" s="187"/>
      <c r="J20" s="187"/>
      <c r="K20" s="187"/>
      <c r="L20" s="187"/>
      <c r="M20" s="187"/>
      <c r="N20" s="187"/>
      <c r="O20" s="77"/>
      <c r="S20" s="422"/>
      <c r="T20" s="422"/>
      <c r="U20" s="422"/>
      <c r="W20" s="422"/>
      <c r="X20" s="422"/>
    </row>
    <row r="21" spans="2:24" x14ac:dyDescent="0.2">
      <c r="B21" s="75"/>
      <c r="C21" s="187"/>
      <c r="D21" s="49" t="s">
        <v>101</v>
      </c>
      <c r="E21" s="187"/>
      <c r="F21" s="522">
        <f>SUMIF(mip!$D$14:$D$70,"gebouwen en terreinen",mip!AA$14:AA$70)</f>
        <v>0</v>
      </c>
      <c r="G21" s="522">
        <f>SUMIF(mip!$D$14:$D$70,"gebouwen en terreinen",mip!AB$14:AB$70)</f>
        <v>0</v>
      </c>
      <c r="H21" s="522">
        <f>SUMIF(mip!$D$14:$D$70,"gebouwen en terreinen",mip!AC$14:AC$70)</f>
        <v>0</v>
      </c>
      <c r="I21" s="522">
        <f>SUMIF(mip!$D$14:$D$70,"gebouwen en terreinen",mip!AD$14:AD$70)</f>
        <v>0</v>
      </c>
      <c r="J21" s="522">
        <f>SUMIF(mip!$D$14:$D$70,"gebouwen en terreinen",mip!AE$14:AE$70)</f>
        <v>0</v>
      </c>
      <c r="K21" s="522">
        <f>SUMIF(mip!$D$14:$D$70,"gebouwen en terreinen",mip!AF$14:AF$70)</f>
        <v>0</v>
      </c>
      <c r="L21" s="522">
        <f>SUMIF(mip!$D$14:$D$70,"gebouwen en terreinen",mip!AG$14:AG$70)</f>
        <v>0</v>
      </c>
      <c r="M21" s="522">
        <f>SUMIF(mip!$D$14:$D$70,"gebouwen en terreinen",mip!AH$14:AH$70)</f>
        <v>0</v>
      </c>
      <c r="N21" s="187"/>
      <c r="O21" s="77"/>
      <c r="S21" s="422"/>
      <c r="T21" s="422"/>
      <c r="U21" s="422"/>
      <c r="W21" s="422"/>
      <c r="X21" s="422"/>
    </row>
    <row r="22" spans="2:24" x14ac:dyDescent="0.2">
      <c r="B22" s="75"/>
      <c r="C22" s="187"/>
      <c r="D22" s="49" t="s">
        <v>103</v>
      </c>
      <c r="E22" s="187"/>
      <c r="F22" s="522">
        <f>SUMIF(mip!$D$14:$D$70,"inventaris en apparatuur",mip!AA$14:AA$70)</f>
        <v>0</v>
      </c>
      <c r="G22" s="522">
        <f>SUMIF(mip!$D$14:$D$70,"inventaris en apparatuur",mip!AB$14:AB$70)</f>
        <v>0</v>
      </c>
      <c r="H22" s="522">
        <f>SUMIF(mip!$D$14:$D$70,"inventaris en apparatuur",mip!AC$14:AC$70)</f>
        <v>55500</v>
      </c>
      <c r="I22" s="522">
        <f>SUMIF(mip!$D$14:$D$70,"inventaris en apparatuur",mip!AD$14:AD$70)</f>
        <v>0</v>
      </c>
      <c r="J22" s="522">
        <f>SUMIF(mip!$D$14:$D$70,"inventaris en apparatuur",mip!AE$14:AE$70)</f>
        <v>0</v>
      </c>
      <c r="K22" s="522">
        <f>SUMIF(mip!$D$14:$D$70,"inventaris en apparatuur",mip!AF$14:AF$70)</f>
        <v>0</v>
      </c>
      <c r="L22" s="522">
        <f>SUMIF(mip!$D$14:$D$70,"inventaris en apparatuur",mip!AG$14:AG$70)</f>
        <v>0</v>
      </c>
      <c r="M22" s="522">
        <f>SUMIF(mip!$D$14:$D$70,"inventaris en apparatuur",mip!AH$14:AH$70)</f>
        <v>0</v>
      </c>
      <c r="N22" s="187"/>
      <c r="O22" s="77"/>
      <c r="S22" s="422"/>
      <c r="T22" s="422"/>
      <c r="U22" s="422"/>
      <c r="W22" s="422"/>
      <c r="X22" s="422"/>
    </row>
    <row r="23" spans="2:24" x14ac:dyDescent="0.2">
      <c r="B23" s="75"/>
      <c r="C23" s="187"/>
      <c r="D23" s="49" t="s">
        <v>97</v>
      </c>
      <c r="E23" s="187"/>
      <c r="F23" s="522">
        <f>SUMIF(mip!$D$14:$D$70,"leermiddelen",mip!AA$14:AA$70)</f>
        <v>0</v>
      </c>
      <c r="G23" s="522">
        <f>SUMIF(mip!$D$14:$D$70,"leermiddelen",mip!AB$14:AB$70)</f>
        <v>0</v>
      </c>
      <c r="H23" s="522">
        <f>SUMIF(mip!$D$14:$D$70,"leermiddelen",mip!AC$14:AC$70)</f>
        <v>0</v>
      </c>
      <c r="I23" s="522">
        <f>SUMIF(mip!$D$14:$D$70,"leermiddelen",mip!AD$14:AD$70)</f>
        <v>0</v>
      </c>
      <c r="J23" s="522">
        <f>SUMIF(mip!$D$14:$D$70,"leermiddelen",mip!AE$14:AE$70)</f>
        <v>0</v>
      </c>
      <c r="K23" s="522">
        <f>SUMIF(mip!$D$14:$D$70,"leermiddelen",mip!AF$14:AF$70)</f>
        <v>0</v>
      </c>
      <c r="L23" s="522">
        <f>SUMIF(mip!$D$14:$D$70,"leermiddelen",mip!AG$14:AG$70)</f>
        <v>0</v>
      </c>
      <c r="M23" s="522">
        <f>SUMIF(mip!$D$14:$D$70,"leermiddelen",mip!AH$14:AH$70)</f>
        <v>0</v>
      </c>
      <c r="N23" s="187"/>
      <c r="O23" s="77"/>
      <c r="S23" s="422"/>
      <c r="T23" s="422"/>
      <c r="U23" s="422"/>
      <c r="W23" s="422"/>
      <c r="X23" s="422"/>
    </row>
    <row r="24" spans="2:24" x14ac:dyDescent="0.2">
      <c r="B24" s="75"/>
      <c r="C24" s="187"/>
      <c r="D24" s="49" t="s">
        <v>104</v>
      </c>
      <c r="E24" s="187"/>
      <c r="F24" s="522">
        <f>SUMIF(mip!$D$14:$D$70,"overige materiële vaste activa",mip!AA$14:AA$70)</f>
        <v>0</v>
      </c>
      <c r="G24" s="522">
        <f>SUMIF(mip!$D$14:$D$70,"overige materiële vaste activa",mip!AB$14:AB$70)</f>
        <v>0</v>
      </c>
      <c r="H24" s="522">
        <f>SUMIF(mip!$D$14:$D$70,"overige materiële vaste activa",mip!AC$14:AC$70)</f>
        <v>0</v>
      </c>
      <c r="I24" s="522">
        <f>SUMIF(mip!$D$14:$D$70,"overige materiële vaste activa",mip!AD$14:AD$70)</f>
        <v>0</v>
      </c>
      <c r="J24" s="522">
        <f>SUMIF(mip!$D$14:$D$70,"overige materiële vaste activa",mip!AE$14:AE$70)</f>
        <v>0</v>
      </c>
      <c r="K24" s="522">
        <f>SUMIF(mip!$D$14:$D$70,"overige materiële vaste activa",mip!AF$14:AF$70)</f>
        <v>0</v>
      </c>
      <c r="L24" s="522">
        <f>SUMIF(mip!$D$14:$D$70,"overige materiële vaste activa",mip!AG$14:AG$70)</f>
        <v>0</v>
      </c>
      <c r="M24" s="522">
        <f>SUMIF(mip!$D$14:$D$70,"overige materiële vaste activa",mip!AH$14:AH$70)</f>
        <v>0</v>
      </c>
      <c r="N24" s="187"/>
      <c r="O24" s="77"/>
      <c r="S24" s="422"/>
      <c r="T24" s="422"/>
      <c r="U24" s="422"/>
      <c r="W24" s="422"/>
      <c r="X24" s="422"/>
    </row>
    <row r="25" spans="2:24" x14ac:dyDescent="0.2">
      <c r="B25" s="75"/>
      <c r="C25" s="187"/>
      <c r="D25" s="432"/>
      <c r="E25" s="187"/>
      <c r="F25" s="536">
        <f t="shared" ref="F25:M25" si="3">SUM(F21:F24)</f>
        <v>0</v>
      </c>
      <c r="G25" s="536">
        <f t="shared" si="3"/>
        <v>0</v>
      </c>
      <c r="H25" s="536">
        <f t="shared" si="3"/>
        <v>55500</v>
      </c>
      <c r="I25" s="536">
        <f t="shared" si="3"/>
        <v>0</v>
      </c>
      <c r="J25" s="536">
        <f t="shared" si="3"/>
        <v>0</v>
      </c>
      <c r="K25" s="536">
        <f t="shared" si="3"/>
        <v>0</v>
      </c>
      <c r="L25" s="536">
        <f t="shared" si="3"/>
        <v>0</v>
      </c>
      <c r="M25" s="536">
        <f t="shared" si="3"/>
        <v>0</v>
      </c>
      <c r="N25" s="187"/>
      <c r="O25" s="77"/>
      <c r="R25" s="423"/>
      <c r="W25" s="423"/>
      <c r="X25" s="423"/>
    </row>
    <row r="26" spans="2:24" x14ac:dyDescent="0.2">
      <c r="B26" s="75"/>
      <c r="C26" s="187"/>
      <c r="D26" s="92"/>
      <c r="E26" s="187"/>
      <c r="F26" s="187"/>
      <c r="G26" s="187"/>
      <c r="H26" s="187"/>
      <c r="I26" s="187"/>
      <c r="J26" s="187"/>
      <c r="K26" s="187"/>
      <c r="L26" s="187"/>
      <c r="M26" s="187"/>
      <c r="N26" s="187"/>
      <c r="O26" s="77"/>
      <c r="S26" s="422"/>
      <c r="T26" s="422"/>
      <c r="U26" s="422"/>
      <c r="W26" s="422"/>
      <c r="X26" s="422"/>
    </row>
    <row r="27" spans="2:24" x14ac:dyDescent="0.2">
      <c r="B27" s="75"/>
      <c r="C27" s="76"/>
      <c r="D27" s="76"/>
      <c r="E27" s="76"/>
      <c r="F27" s="76"/>
      <c r="G27" s="76"/>
      <c r="H27" s="76"/>
      <c r="I27" s="76"/>
      <c r="J27" s="76"/>
      <c r="K27" s="76"/>
      <c r="L27" s="76"/>
      <c r="M27" s="76"/>
      <c r="N27" s="76"/>
      <c r="O27" s="77"/>
      <c r="S27" s="422"/>
      <c r="T27" s="422"/>
      <c r="U27" s="422"/>
      <c r="W27" s="422"/>
      <c r="X27" s="422"/>
    </row>
    <row r="28" spans="2:24" x14ac:dyDescent="0.2">
      <c r="B28" s="75"/>
      <c r="C28" s="187"/>
      <c r="D28" s="187"/>
      <c r="E28" s="187"/>
      <c r="F28" s="217"/>
      <c r="G28" s="217"/>
      <c r="H28" s="217"/>
      <c r="I28" s="217"/>
      <c r="J28" s="217"/>
      <c r="K28" s="217"/>
      <c r="L28" s="217"/>
      <c r="M28" s="217"/>
      <c r="N28" s="187"/>
      <c r="O28" s="77"/>
      <c r="S28" s="422"/>
      <c r="T28" s="422"/>
      <c r="U28" s="422"/>
      <c r="W28" s="422"/>
      <c r="X28" s="422"/>
    </row>
    <row r="29" spans="2:24" x14ac:dyDescent="0.2">
      <c r="B29" s="75"/>
      <c r="C29" s="187"/>
      <c r="D29" s="578" t="s">
        <v>95</v>
      </c>
      <c r="E29" s="187"/>
      <c r="F29" s="217"/>
      <c r="G29" s="217"/>
      <c r="H29" s="217"/>
      <c r="I29" s="217"/>
      <c r="J29" s="217"/>
      <c r="K29" s="217"/>
      <c r="L29" s="217"/>
      <c r="M29" s="217"/>
      <c r="N29" s="187"/>
      <c r="O29" s="77"/>
      <c r="S29" s="422"/>
      <c r="T29" s="422"/>
      <c r="U29" s="422"/>
      <c r="W29" s="422"/>
      <c r="X29" s="422"/>
    </row>
    <row r="30" spans="2:24" x14ac:dyDescent="0.2">
      <c r="B30" s="75"/>
      <c r="C30" s="187"/>
      <c r="D30" s="49" t="s">
        <v>101</v>
      </c>
      <c r="E30" s="187"/>
      <c r="F30" s="522">
        <f>SUMIF(mip!$D$14:$D$70,"gebouwen en terreinen",mip!Q$14:Q$70)</f>
        <v>0</v>
      </c>
      <c r="G30" s="522">
        <f>SUMIF(mip!$D$14:$D$70,"gebouwen en terreinen",mip!R$14:R$70)</f>
        <v>0</v>
      </c>
      <c r="H30" s="522">
        <f>SUMIF(mip!$D$14:$D$70,"gebouwen en terreinen",mip!S$14:S$70)</f>
        <v>0</v>
      </c>
      <c r="I30" s="522">
        <f>SUMIF(mip!$D$14:$D$70,"gebouwen en terreinen",mip!T$14:T$70)</f>
        <v>0</v>
      </c>
      <c r="J30" s="522">
        <f>SUMIF(mip!$D$14:$D$70,"gebouwen en terreinen",mip!U$14:U$70)</f>
        <v>0</v>
      </c>
      <c r="K30" s="522">
        <f>SUMIF(mip!$D$14:$D$70,"gebouwen en terreinen",mip!V$14:V$70)</f>
        <v>0</v>
      </c>
      <c r="L30" s="522">
        <f>SUMIF(mip!$D$14:$D$70,"gebouwen en terreinen",mip!W$14:W$70)</f>
        <v>0</v>
      </c>
      <c r="M30" s="522">
        <f>SUMIF(mip!$D$14:$D$70,"gebouwen en terreinen",mip!X$14:X$70)</f>
        <v>0</v>
      </c>
      <c r="N30" s="187"/>
      <c r="O30" s="77"/>
      <c r="S30" s="422"/>
      <c r="T30" s="422"/>
      <c r="U30" s="422"/>
      <c r="W30" s="422"/>
      <c r="X30" s="422"/>
    </row>
    <row r="31" spans="2:24" x14ac:dyDescent="0.2">
      <c r="B31" s="75"/>
      <c r="C31" s="187"/>
      <c r="D31" s="49" t="s">
        <v>103</v>
      </c>
      <c r="E31" s="187"/>
      <c r="F31" s="522">
        <f>SUMIF(mip!$D$14:$D$70,"inventaris en apparatuur",mip!Q$14:Q$70)</f>
        <v>13875</v>
      </c>
      <c r="G31" s="522">
        <f>SUMIF(mip!$D$14:$D$70,"inventaris en apparatuur",mip!R$14:R$70)</f>
        <v>13875</v>
      </c>
      <c r="H31" s="522">
        <f>SUMIF(mip!$D$14:$D$70,"inventaris en apparatuur",mip!S$14:S$70)</f>
        <v>13875</v>
      </c>
      <c r="I31" s="522">
        <f>SUMIF(mip!$D$14:$D$70,"inventaris en apparatuur",mip!T$14:T$70)</f>
        <v>13875</v>
      </c>
      <c r="J31" s="522">
        <f>SUMIF(mip!$D$14:$D$70,"inventaris en apparatuur",mip!U$14:U$70)</f>
        <v>13875</v>
      </c>
      <c r="K31" s="522">
        <f>SUMIF(mip!$D$14:$D$70,"inventaris en apparatuur",mip!V$14:V$70)</f>
        <v>13875</v>
      </c>
      <c r="L31" s="522">
        <f>SUMIF(mip!$D$14:$D$70,"inventaris en apparatuur",mip!W$14:W$70)</f>
        <v>0</v>
      </c>
      <c r="M31" s="522">
        <f>SUMIF(mip!$D$14:$D$70,"inventaris en apparatuur",mip!X$14:X$70)</f>
        <v>0</v>
      </c>
      <c r="N31" s="187"/>
      <c r="O31" s="77"/>
      <c r="S31" s="422"/>
      <c r="T31" s="422"/>
      <c r="U31" s="422"/>
      <c r="W31" s="422"/>
      <c r="X31" s="422"/>
    </row>
    <row r="32" spans="2:24" x14ac:dyDescent="0.2">
      <c r="B32" s="75"/>
      <c r="C32" s="187"/>
      <c r="D32" s="49" t="s">
        <v>97</v>
      </c>
      <c r="E32" s="187"/>
      <c r="F32" s="522">
        <f>SUMIF(mip!$D$14:$D$70,"leermiddelen",mip!Q$14:Q$70)</f>
        <v>0</v>
      </c>
      <c r="G32" s="522">
        <f>SUMIF(mip!$D$14:$D$70,"leermiddelen",mip!R$14:R$70)</f>
        <v>0</v>
      </c>
      <c r="H32" s="522">
        <f>SUMIF(mip!$D$14:$D$70,"leermiddelen",mip!S$14:S$70)</f>
        <v>0</v>
      </c>
      <c r="I32" s="522">
        <f>SUMIF(mip!$D$14:$D$70,"leermiddelen",mip!T$14:T$70)</f>
        <v>0</v>
      </c>
      <c r="J32" s="522">
        <f>SUMIF(mip!$D$14:$D$70,"leermiddelen",mip!U$14:U$70)</f>
        <v>0</v>
      </c>
      <c r="K32" s="522">
        <f>SUMIF(mip!$D$14:$D$70,"leermiddelen",mip!V$14:V$70)</f>
        <v>0</v>
      </c>
      <c r="L32" s="522">
        <f>SUMIF(mip!$D$14:$D$70,"leermiddelen",mip!W$14:W$70)</f>
        <v>0</v>
      </c>
      <c r="M32" s="522">
        <f>SUMIF(mip!$D$14:$D$70,"leermiddelen",mip!X$14:X$70)</f>
        <v>0</v>
      </c>
      <c r="N32" s="187"/>
      <c r="O32" s="77"/>
      <c r="S32" s="422"/>
      <c r="T32" s="422"/>
      <c r="U32" s="422"/>
      <c r="W32" s="422"/>
      <c r="X32" s="422"/>
    </row>
    <row r="33" spans="2:24" x14ac:dyDescent="0.2">
      <c r="B33" s="75"/>
      <c r="C33" s="187"/>
      <c r="D33" s="49" t="s">
        <v>104</v>
      </c>
      <c r="E33" s="187"/>
      <c r="F33" s="522">
        <f>SUMIF(mip!$D$14:$D$70,"overige materiële vaste activa",mip!Q$14:Q$70)</f>
        <v>0</v>
      </c>
      <c r="G33" s="522">
        <f>SUMIF(mip!$D$14:$D$70,"overige materiële vaste activa",mip!R$14:R$70)</f>
        <v>0</v>
      </c>
      <c r="H33" s="522">
        <f>SUMIF(mip!$D$14:$D$70,"overige materiële vaste activa",mip!S$14:S$70)</f>
        <v>0</v>
      </c>
      <c r="I33" s="522">
        <f>SUMIF(mip!$D$14:$D$70,"overige materiële vaste activa",mip!T$14:T$70)</f>
        <v>0</v>
      </c>
      <c r="J33" s="522">
        <f>SUMIF(mip!$D$14:$D$70,"overige materiële vaste activa",mip!U$14:U$70)</f>
        <v>0</v>
      </c>
      <c r="K33" s="522">
        <f>SUMIF(mip!$D$14:$D$70,"overige materiële vaste activa",mip!V$14:V$70)</f>
        <v>0</v>
      </c>
      <c r="L33" s="522">
        <f>SUMIF(mip!$D$14:$D$70,"overige materiële vaste activa",mip!W$14:W$70)</f>
        <v>0</v>
      </c>
      <c r="M33" s="522">
        <f>SUMIF(mip!$D$14:$D$70,"overige materiële vaste activa",mip!X$14:X$70)</f>
        <v>0</v>
      </c>
      <c r="N33" s="187"/>
      <c r="O33" s="77"/>
      <c r="S33" s="422"/>
      <c r="T33" s="422"/>
      <c r="U33" s="422"/>
      <c r="W33" s="422"/>
      <c r="X33" s="422"/>
    </row>
    <row r="34" spans="2:24" s="113" customFormat="1" x14ac:dyDescent="0.2">
      <c r="B34" s="79"/>
      <c r="C34" s="195"/>
      <c r="D34" s="195"/>
      <c r="E34" s="195"/>
      <c r="F34" s="536">
        <f t="shared" ref="F34:M34" si="4">SUM(F30:F33)</f>
        <v>13875</v>
      </c>
      <c r="G34" s="536">
        <f t="shared" si="4"/>
        <v>13875</v>
      </c>
      <c r="H34" s="536">
        <f t="shared" si="4"/>
        <v>13875</v>
      </c>
      <c r="I34" s="536">
        <f t="shared" si="4"/>
        <v>13875</v>
      </c>
      <c r="J34" s="536">
        <f t="shared" si="4"/>
        <v>13875</v>
      </c>
      <c r="K34" s="536">
        <f t="shared" si="4"/>
        <v>13875</v>
      </c>
      <c r="L34" s="536">
        <f t="shared" si="4"/>
        <v>0</v>
      </c>
      <c r="M34" s="536">
        <f t="shared" si="4"/>
        <v>0</v>
      </c>
      <c r="N34" s="195"/>
      <c r="O34" s="90"/>
      <c r="R34" s="426"/>
      <c r="S34" s="426"/>
      <c r="T34" s="426"/>
      <c r="U34" s="426"/>
      <c r="V34" s="426"/>
      <c r="W34" s="426"/>
      <c r="X34" s="426"/>
    </row>
    <row r="35" spans="2:24" x14ac:dyDescent="0.2">
      <c r="B35" s="75"/>
      <c r="C35" s="187"/>
      <c r="D35" s="187"/>
      <c r="E35" s="187"/>
      <c r="F35" s="187"/>
      <c r="G35" s="187"/>
      <c r="H35" s="187"/>
      <c r="I35" s="187"/>
      <c r="J35" s="187"/>
      <c r="K35" s="187"/>
      <c r="L35" s="187"/>
      <c r="M35" s="187"/>
      <c r="N35" s="187"/>
      <c r="O35" s="77"/>
      <c r="S35" s="422"/>
      <c r="T35" s="422"/>
      <c r="U35" s="422"/>
      <c r="W35" s="422"/>
      <c r="X35" s="422"/>
    </row>
    <row r="36" spans="2:24" x14ac:dyDescent="0.2">
      <c r="B36" s="75"/>
      <c r="C36" s="76"/>
      <c r="D36" s="76"/>
      <c r="E36" s="76"/>
      <c r="F36" s="76"/>
      <c r="G36" s="76"/>
      <c r="H36" s="76"/>
      <c r="I36" s="76"/>
      <c r="J36" s="76"/>
      <c r="K36" s="76"/>
      <c r="L36" s="76"/>
      <c r="M36" s="76"/>
      <c r="N36" s="76"/>
      <c r="O36" s="77"/>
      <c r="S36" s="422"/>
      <c r="T36" s="422"/>
      <c r="U36" s="422"/>
      <c r="W36" s="422"/>
      <c r="X36" s="422"/>
    </row>
    <row r="37" spans="2:24" x14ac:dyDescent="0.2">
      <c r="B37" s="75"/>
      <c r="C37" s="187"/>
      <c r="D37" s="187"/>
      <c r="E37" s="187"/>
      <c r="F37" s="187"/>
      <c r="G37" s="187"/>
      <c r="H37" s="187"/>
      <c r="I37" s="187"/>
      <c r="J37" s="187"/>
      <c r="K37" s="187"/>
      <c r="L37" s="187"/>
      <c r="M37" s="187"/>
      <c r="N37" s="187"/>
      <c r="O37" s="77"/>
      <c r="S37" s="422"/>
      <c r="T37" s="422"/>
      <c r="U37" s="422"/>
      <c r="W37" s="422"/>
      <c r="X37" s="422"/>
    </row>
    <row r="38" spans="2:24" x14ac:dyDescent="0.2">
      <c r="B38" s="75"/>
      <c r="C38" s="187"/>
      <c r="D38" s="578" t="s">
        <v>156</v>
      </c>
      <c r="E38" s="187"/>
      <c r="F38" s="187"/>
      <c r="G38" s="187"/>
      <c r="H38" s="187"/>
      <c r="I38" s="187"/>
      <c r="J38" s="187"/>
      <c r="K38" s="187"/>
      <c r="L38" s="187"/>
      <c r="M38" s="187"/>
      <c r="N38" s="187"/>
      <c r="O38" s="77"/>
      <c r="S38" s="422"/>
      <c r="T38" s="422"/>
      <c r="U38" s="422"/>
      <c r="W38" s="422"/>
      <c r="X38" s="422"/>
    </row>
    <row r="39" spans="2:24" x14ac:dyDescent="0.2">
      <c r="B39" s="75"/>
      <c r="C39" s="187"/>
      <c r="D39" s="49" t="s">
        <v>101</v>
      </c>
      <c r="E39" s="187"/>
      <c r="F39" s="521">
        <f t="shared" ref="F39:M39" si="5">F12+F21-F30</f>
        <v>0</v>
      </c>
      <c r="G39" s="521">
        <f t="shared" si="5"/>
        <v>0</v>
      </c>
      <c r="H39" s="521">
        <f t="shared" si="5"/>
        <v>0</v>
      </c>
      <c r="I39" s="521">
        <f t="shared" si="5"/>
        <v>0</v>
      </c>
      <c r="J39" s="521">
        <f t="shared" si="5"/>
        <v>0</v>
      </c>
      <c r="K39" s="521">
        <f t="shared" si="5"/>
        <v>0</v>
      </c>
      <c r="L39" s="521">
        <f t="shared" si="5"/>
        <v>0</v>
      </c>
      <c r="M39" s="521">
        <f t="shared" si="5"/>
        <v>0</v>
      </c>
      <c r="N39" s="187"/>
      <c r="O39" s="77"/>
      <c r="S39" s="422"/>
      <c r="T39" s="422"/>
      <c r="U39" s="422"/>
      <c r="W39" s="422"/>
      <c r="X39" s="422"/>
    </row>
    <row r="40" spans="2:24" x14ac:dyDescent="0.2">
      <c r="B40" s="75"/>
      <c r="C40" s="187"/>
      <c r="D40" s="49" t="s">
        <v>103</v>
      </c>
      <c r="E40" s="187"/>
      <c r="F40" s="521">
        <f t="shared" ref="F40:I42" si="6">F13+F22-F31</f>
        <v>13875</v>
      </c>
      <c r="G40" s="521">
        <f t="shared" si="6"/>
        <v>0</v>
      </c>
      <c r="H40" s="521">
        <f t="shared" si="6"/>
        <v>41625</v>
      </c>
      <c r="I40" s="521">
        <f t="shared" si="6"/>
        <v>27750</v>
      </c>
      <c r="J40" s="521">
        <f t="shared" ref="J40:M42" si="7">J13+J22-J31</f>
        <v>13875</v>
      </c>
      <c r="K40" s="521">
        <f t="shared" si="7"/>
        <v>0</v>
      </c>
      <c r="L40" s="521">
        <f t="shared" si="7"/>
        <v>0</v>
      </c>
      <c r="M40" s="521">
        <f t="shared" si="7"/>
        <v>0</v>
      </c>
      <c r="N40" s="187"/>
      <c r="O40" s="77"/>
      <c r="S40" s="422"/>
      <c r="T40" s="422"/>
      <c r="U40" s="422"/>
      <c r="W40" s="422"/>
      <c r="X40" s="422"/>
    </row>
    <row r="41" spans="2:24" x14ac:dyDescent="0.2">
      <c r="B41" s="75"/>
      <c r="C41" s="187"/>
      <c r="D41" s="49" t="s">
        <v>97</v>
      </c>
      <c r="E41" s="187"/>
      <c r="F41" s="521">
        <f t="shared" si="6"/>
        <v>0</v>
      </c>
      <c r="G41" s="521">
        <f t="shared" si="6"/>
        <v>0</v>
      </c>
      <c r="H41" s="521">
        <f t="shared" si="6"/>
        <v>0</v>
      </c>
      <c r="I41" s="521">
        <f t="shared" si="6"/>
        <v>0</v>
      </c>
      <c r="J41" s="521">
        <f t="shared" si="7"/>
        <v>0</v>
      </c>
      <c r="K41" s="521">
        <f t="shared" si="7"/>
        <v>0</v>
      </c>
      <c r="L41" s="521">
        <f t="shared" si="7"/>
        <v>0</v>
      </c>
      <c r="M41" s="521">
        <f t="shared" si="7"/>
        <v>0</v>
      </c>
      <c r="N41" s="187"/>
      <c r="O41" s="77"/>
      <c r="S41" s="422"/>
      <c r="T41" s="422"/>
      <c r="U41" s="422"/>
      <c r="W41" s="422"/>
      <c r="X41" s="422"/>
    </row>
    <row r="42" spans="2:24" x14ac:dyDescent="0.2">
      <c r="B42" s="75"/>
      <c r="C42" s="187"/>
      <c r="D42" s="49" t="s">
        <v>104</v>
      </c>
      <c r="E42" s="187"/>
      <c r="F42" s="521">
        <f t="shared" si="6"/>
        <v>0</v>
      </c>
      <c r="G42" s="521">
        <f t="shared" si="6"/>
        <v>0</v>
      </c>
      <c r="H42" s="521">
        <f t="shared" si="6"/>
        <v>0</v>
      </c>
      <c r="I42" s="521">
        <f t="shared" si="6"/>
        <v>0</v>
      </c>
      <c r="J42" s="521">
        <f t="shared" si="7"/>
        <v>0</v>
      </c>
      <c r="K42" s="521">
        <f t="shared" si="7"/>
        <v>0</v>
      </c>
      <c r="L42" s="521">
        <f t="shared" si="7"/>
        <v>0</v>
      </c>
      <c r="M42" s="521">
        <f t="shared" si="7"/>
        <v>0</v>
      </c>
      <c r="N42" s="187"/>
      <c r="O42" s="77"/>
      <c r="S42" s="422"/>
      <c r="T42" s="422"/>
      <c r="U42" s="422"/>
      <c r="W42" s="422"/>
      <c r="X42" s="422"/>
    </row>
    <row r="43" spans="2:24" s="11" customFormat="1" x14ac:dyDescent="0.2">
      <c r="B43" s="61"/>
      <c r="C43" s="37"/>
      <c r="D43" s="92"/>
      <c r="E43" s="37"/>
      <c r="F43" s="536">
        <f t="shared" ref="F43:M43" si="8">SUM(F39:F42)</f>
        <v>13875</v>
      </c>
      <c r="G43" s="536">
        <f t="shared" si="8"/>
        <v>0</v>
      </c>
      <c r="H43" s="536">
        <f t="shared" si="8"/>
        <v>41625</v>
      </c>
      <c r="I43" s="536">
        <f t="shared" si="8"/>
        <v>27750</v>
      </c>
      <c r="J43" s="536">
        <f t="shared" si="8"/>
        <v>13875</v>
      </c>
      <c r="K43" s="536">
        <f t="shared" si="8"/>
        <v>0</v>
      </c>
      <c r="L43" s="536">
        <f t="shared" si="8"/>
        <v>0</v>
      </c>
      <c r="M43" s="536">
        <f t="shared" si="8"/>
        <v>0</v>
      </c>
      <c r="N43" s="37"/>
      <c r="O43" s="62"/>
      <c r="R43" s="422"/>
      <c r="S43" s="422"/>
      <c r="T43" s="422"/>
      <c r="U43" s="422"/>
      <c r="V43" s="422"/>
      <c r="W43" s="422"/>
      <c r="X43" s="422"/>
    </row>
    <row r="44" spans="2:24" x14ac:dyDescent="0.2">
      <c r="B44" s="75"/>
      <c r="C44" s="187"/>
      <c r="D44" s="187"/>
      <c r="E44" s="187"/>
      <c r="F44" s="187"/>
      <c r="G44" s="187"/>
      <c r="H44" s="187"/>
      <c r="I44" s="187"/>
      <c r="J44" s="187"/>
      <c r="K44" s="187"/>
      <c r="L44" s="187"/>
      <c r="M44" s="187"/>
      <c r="N44" s="187"/>
      <c r="O44" s="77"/>
      <c r="S44" s="422"/>
      <c r="T44" s="422"/>
      <c r="U44" s="422"/>
      <c r="W44" s="422"/>
      <c r="X44" s="422"/>
    </row>
    <row r="45" spans="2:24" x14ac:dyDescent="0.2">
      <c r="B45" s="75"/>
      <c r="C45" s="76"/>
      <c r="D45" s="76"/>
      <c r="E45" s="76"/>
      <c r="F45" s="76"/>
      <c r="G45" s="76"/>
      <c r="H45" s="76"/>
      <c r="I45" s="76"/>
      <c r="J45" s="76"/>
      <c r="K45" s="76"/>
      <c r="L45" s="76"/>
      <c r="M45" s="76"/>
      <c r="N45" s="76"/>
      <c r="O45" s="77"/>
      <c r="S45" s="422"/>
      <c r="T45" s="422"/>
      <c r="U45" s="422"/>
      <c r="W45" s="422"/>
      <c r="X45" s="422"/>
    </row>
    <row r="46" spans="2:24" x14ac:dyDescent="0.2">
      <c r="B46" s="85"/>
      <c r="C46" s="82"/>
      <c r="D46" s="82"/>
      <c r="E46" s="82"/>
      <c r="F46" s="82"/>
      <c r="G46" s="82"/>
      <c r="H46" s="82"/>
      <c r="I46" s="82"/>
      <c r="J46" s="82"/>
      <c r="K46" s="82"/>
      <c r="L46" s="82"/>
      <c r="M46" s="82"/>
      <c r="N46" s="613" t="s">
        <v>378</v>
      </c>
      <c r="O46" s="84"/>
    </row>
  </sheetData>
  <sheetProtection algorithmName="SHA-512" hashValue="w9RD1t1iIijDM5hxj6Iqc+RHDmm7Rj5Y2uXAwE4aXfd4vhZ58holeS22HSxf5C4UEebsA5lJzWcNVdgfuwyuNw==" saltValue="jzuoIYQp4Frck6oR+bW7cg==" spinCount="100000" sheet="1" objects="1" scenarios="1"/>
  <phoneticPr fontId="0" type="noConversion"/>
  <hyperlinks>
    <hyperlink ref="N46" r:id="rId1" xr:uid="{00000000-0004-0000-0A00-000000000000}"/>
  </hyperlinks>
  <pageMargins left="0.74803149606299213" right="0.74803149606299213" top="0.98425196850393704" bottom="0.98425196850393704" header="0.51181102362204722" footer="0.51181102362204722"/>
  <pageSetup paperSize="9" scale="65" orientation="landscape" r:id="rId2"/>
  <headerFooter alignWithMargins="0">
    <oddHeader>&amp;L&amp;"Arial,Vet"&amp;9&amp;F&amp;R&amp;"Arial,Vet"&amp;9&amp;A</oddHeader>
    <oddFooter>&amp;L&amp;"Arial,Vet"&amp;9be.keizer@wxs.nl&amp;C&amp;"Arial,Vet"&amp;9pagina &amp;P&amp;R&amp;"Arial,Vet"&amp;9&amp;D</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B105"/>
  <sheetViews>
    <sheetView zoomScale="80" zoomScaleNormal="80" workbookViewId="0">
      <selection activeCell="B2" sqref="B2"/>
    </sheetView>
  </sheetViews>
  <sheetFormatPr defaultRowHeight="12.75" x14ac:dyDescent="0.2"/>
  <cols>
    <col min="1" max="1" width="3.7109375" style="109" customWidth="1"/>
    <col min="2" max="3" width="2.7109375" style="109" customWidth="1"/>
    <col min="4" max="4" width="45.7109375" style="109" customWidth="1"/>
    <col min="5" max="5" width="2.7109375" style="109" customWidth="1"/>
    <col min="6" max="6" width="16.85546875" style="109" hidden="1" customWidth="1"/>
    <col min="7" max="12" width="16.85546875" style="109" customWidth="1"/>
    <col min="13" max="13" width="2.7109375" style="109" customWidth="1"/>
    <col min="14" max="14" width="3.140625" style="109" customWidth="1"/>
    <col min="15" max="16" width="5.7109375" style="109" customWidth="1"/>
    <col min="17" max="16384" width="9.140625" style="109"/>
  </cols>
  <sheetData>
    <row r="1" spans="2:28" ht="12.75" customHeight="1" x14ac:dyDescent="0.2"/>
    <row r="2" spans="2:28" x14ac:dyDescent="0.2">
      <c r="B2" s="71"/>
      <c r="C2" s="72"/>
      <c r="D2" s="72"/>
      <c r="E2" s="72"/>
      <c r="F2" s="72"/>
      <c r="G2" s="72"/>
      <c r="H2" s="72"/>
      <c r="I2" s="72"/>
      <c r="J2" s="72"/>
      <c r="K2" s="72"/>
      <c r="L2" s="72"/>
      <c r="M2" s="72"/>
      <c r="N2" s="74"/>
    </row>
    <row r="3" spans="2:28" x14ac:dyDescent="0.2">
      <c r="B3" s="883"/>
      <c r="C3" s="76"/>
      <c r="D3" s="76"/>
      <c r="E3" s="76"/>
      <c r="F3" s="76"/>
      <c r="G3" s="76"/>
      <c r="H3" s="76"/>
      <c r="I3" s="76"/>
      <c r="J3" s="76"/>
      <c r="K3" s="76"/>
      <c r="L3" s="76"/>
      <c r="M3" s="76"/>
      <c r="N3" s="77"/>
    </row>
    <row r="4" spans="2:28" ht="18.75" x14ac:dyDescent="0.3">
      <c r="B4" s="1211"/>
      <c r="C4" s="602" t="s">
        <v>43</v>
      </c>
      <c r="D4" s="173"/>
      <c r="E4" s="200"/>
      <c r="F4" s="1399"/>
      <c r="G4" s="1458"/>
      <c r="H4" s="200"/>
      <c r="I4" s="200"/>
      <c r="J4" s="200"/>
      <c r="K4" s="200"/>
      <c r="L4" s="200"/>
      <c r="M4" s="200"/>
      <c r="N4" s="433"/>
    </row>
    <row r="5" spans="2:28" ht="18.75" x14ac:dyDescent="0.3">
      <c r="B5" s="883"/>
      <c r="C5" s="1360" t="str">
        <f>'geg ll'!C5</f>
        <v>Voorbeeld SWV VO Alkmaar</v>
      </c>
      <c r="D5" s="76"/>
      <c r="E5" s="76"/>
      <c r="F5" s="76"/>
      <c r="G5" s="76"/>
      <c r="H5" s="76"/>
      <c r="I5" s="76"/>
      <c r="J5" s="76"/>
      <c r="K5" s="76"/>
      <c r="L5" s="76"/>
      <c r="M5" s="76"/>
      <c r="N5" s="77"/>
    </row>
    <row r="6" spans="2:28" ht="15" x14ac:dyDescent="0.25">
      <c r="B6" s="883"/>
      <c r="C6" s="76"/>
      <c r="D6" s="1400" t="s">
        <v>850</v>
      </c>
      <c r="E6" s="434"/>
      <c r="F6" s="53"/>
      <c r="G6" s="53"/>
      <c r="H6" s="53"/>
      <c r="I6" s="53"/>
      <c r="J6" s="53"/>
      <c r="K6" s="53"/>
      <c r="L6" s="53"/>
      <c r="M6" s="435"/>
      <c r="N6" s="436"/>
    </row>
    <row r="7" spans="2:28" x14ac:dyDescent="0.2">
      <c r="B7" s="883"/>
      <c r="C7" s="76"/>
      <c r="D7" s="76"/>
      <c r="E7" s="434"/>
      <c r="F7" s="53"/>
      <c r="G7" s="437"/>
      <c r="H7" s="53"/>
      <c r="I7" s="53"/>
      <c r="J7" s="53"/>
      <c r="K7" s="53"/>
      <c r="L7" s="53"/>
      <c r="M7" s="435"/>
      <c r="N7" s="436"/>
    </row>
    <row r="8" spans="2:28" ht="15.75" x14ac:dyDescent="0.25">
      <c r="B8" s="1212"/>
      <c r="C8" s="212"/>
      <c r="D8" s="788" t="s">
        <v>137</v>
      </c>
      <c r="E8" s="438"/>
      <c r="F8" s="560">
        <f>tab!E4</f>
        <v>2018</v>
      </c>
      <c r="G8" s="560"/>
      <c r="H8" s="560">
        <f>tab!G4</f>
        <v>2020</v>
      </c>
      <c r="I8" s="560">
        <f>tab!H4</f>
        <v>2021</v>
      </c>
      <c r="J8" s="560">
        <f>tab!I4</f>
        <v>2022</v>
      </c>
      <c r="K8" s="560">
        <f>tab!J4</f>
        <v>2023</v>
      </c>
      <c r="L8" s="560">
        <f>tab!K4</f>
        <v>2024</v>
      </c>
      <c r="M8" s="439"/>
      <c r="N8" s="440"/>
    </row>
    <row r="9" spans="2:28" x14ac:dyDescent="0.2">
      <c r="B9" s="883"/>
      <c r="C9" s="76"/>
      <c r="D9" s="76"/>
      <c r="E9" s="434"/>
      <c r="F9" s="76"/>
      <c r="G9" s="76"/>
      <c r="H9" s="76"/>
      <c r="I9" s="76"/>
      <c r="J9" s="76"/>
      <c r="K9" s="76"/>
      <c r="L9" s="76"/>
      <c r="M9" s="435"/>
      <c r="N9" s="436"/>
      <c r="Q9" s="191"/>
      <c r="R9" s="191"/>
      <c r="S9" s="191"/>
      <c r="T9" s="191"/>
      <c r="U9" s="191"/>
      <c r="V9" s="191"/>
      <c r="W9" s="191"/>
      <c r="X9" s="191"/>
      <c r="Y9" s="191"/>
      <c r="Z9" s="191"/>
      <c r="AA9" s="191"/>
      <c r="AB9" s="191"/>
    </row>
    <row r="10" spans="2:28" x14ac:dyDescent="0.2">
      <c r="B10" s="883"/>
      <c r="C10" s="493"/>
      <c r="D10" s="187"/>
      <c r="E10" s="443"/>
      <c r="F10" s="187"/>
      <c r="G10" s="187"/>
      <c r="H10" s="187"/>
      <c r="I10" s="187"/>
      <c r="J10" s="187"/>
      <c r="K10" s="187"/>
      <c r="L10" s="187"/>
      <c r="M10" s="444"/>
      <c r="N10" s="436"/>
    </row>
    <row r="11" spans="2:28" x14ac:dyDescent="0.2">
      <c r="B11" s="883"/>
      <c r="C11" s="493"/>
      <c r="D11" s="567" t="s">
        <v>251</v>
      </c>
      <c r="E11" s="443"/>
      <c r="F11" s="187"/>
      <c r="G11" s="187"/>
      <c r="H11" s="187"/>
      <c r="I11" s="187"/>
      <c r="J11" s="187"/>
      <c r="K11" s="187"/>
      <c r="L11" s="187"/>
      <c r="M11" s="444"/>
      <c r="N11" s="436"/>
    </row>
    <row r="12" spans="2:28" x14ac:dyDescent="0.2">
      <c r="B12" s="883"/>
      <c r="C12" s="493"/>
      <c r="D12" s="187"/>
      <c r="E12" s="443"/>
      <c r="F12" s="187"/>
      <c r="G12" s="187"/>
      <c r="H12" s="187"/>
      <c r="I12" s="187"/>
      <c r="J12" s="187"/>
      <c r="K12" s="187"/>
      <c r="L12" s="187"/>
      <c r="M12" s="444"/>
      <c r="N12" s="436"/>
    </row>
    <row r="13" spans="2:28" x14ac:dyDescent="0.2">
      <c r="B13" s="883"/>
      <c r="C13" s="493"/>
      <c r="D13" s="195" t="s">
        <v>230</v>
      </c>
      <c r="E13" s="443"/>
      <c r="F13" s="187"/>
      <c r="G13" s="187"/>
      <c r="H13" s="187"/>
      <c r="I13" s="187"/>
      <c r="J13" s="187"/>
      <c r="K13" s="187"/>
      <c r="L13" s="187"/>
      <c r="M13" s="444"/>
      <c r="N13" s="436"/>
      <c r="Q13" s="208"/>
      <c r="R13" s="208"/>
      <c r="S13" s="208"/>
      <c r="T13" s="208"/>
      <c r="U13" s="208"/>
      <c r="V13" s="208"/>
      <c r="W13" s="208"/>
      <c r="X13" s="208"/>
      <c r="Y13" s="208"/>
      <c r="Z13" s="208"/>
      <c r="AA13" s="208"/>
      <c r="AB13" s="208"/>
    </row>
    <row r="14" spans="2:28" x14ac:dyDescent="0.2">
      <c r="B14" s="883"/>
      <c r="C14" s="493"/>
      <c r="D14" s="49" t="s">
        <v>92</v>
      </c>
      <c r="E14" s="187"/>
      <c r="F14" s="1232">
        <v>0</v>
      </c>
      <c r="G14" s="1588"/>
      <c r="H14" s="494">
        <f>pers!I190+mat!K46</f>
        <v>20073429.319975823</v>
      </c>
      <c r="I14" s="494">
        <f>pers!J190+mat!L46</f>
        <v>19640814.939132731</v>
      </c>
      <c r="J14" s="494">
        <f>pers!K190+mat!M46</f>
        <v>20113192.061947528</v>
      </c>
      <c r="K14" s="494">
        <f>pers!L190+mat!N46</f>
        <v>20113192.061947528</v>
      </c>
      <c r="L14" s="494">
        <f>pers!M190+mat!O46</f>
        <v>20113192.061947528</v>
      </c>
      <c r="M14" s="187"/>
      <c r="N14" s="77"/>
    </row>
    <row r="15" spans="2:28" x14ac:dyDescent="0.2">
      <c r="B15" s="883"/>
      <c r="C15" s="493"/>
      <c r="D15" s="420" t="s">
        <v>829</v>
      </c>
      <c r="E15" s="187"/>
      <c r="F15" s="1455">
        <v>0</v>
      </c>
      <c r="G15" s="1589"/>
      <c r="H15" s="1456">
        <f>pers!I22+mat!K19</f>
        <v>9898698.5678924862</v>
      </c>
      <c r="I15" s="1456">
        <f>pers!J22+mat!L19</f>
        <v>9680716.4641327336</v>
      </c>
      <c r="J15" s="1456">
        <f>pers!K22+mat!M19</f>
        <v>9910843.5019475259</v>
      </c>
      <c r="K15" s="1456">
        <f>pers!L22+mat!N19</f>
        <v>9910843.5019475259</v>
      </c>
      <c r="L15" s="1456">
        <f>pers!M22+mat!O19</f>
        <v>9910843.5019475259</v>
      </c>
      <c r="M15" s="187"/>
      <c r="N15" s="816"/>
    </row>
    <row r="16" spans="2:28" x14ac:dyDescent="0.2">
      <c r="B16" s="883"/>
      <c r="C16" s="493"/>
      <c r="D16" s="420" t="s">
        <v>830</v>
      </c>
      <c r="E16" s="187"/>
      <c r="F16" s="1455">
        <v>0</v>
      </c>
      <c r="G16" s="1589"/>
      <c r="H16" s="1456">
        <f>pers!I38+pers!I39+pers!I40+mat!K43</f>
        <v>10174730.752083333</v>
      </c>
      <c r="I16" s="1456">
        <f>pers!J38+pers!J39+pers!J40+mat!L43</f>
        <v>9960098.4750000015</v>
      </c>
      <c r="J16" s="1456">
        <f>pers!K38+pers!K39+pers!K40+mat!M43</f>
        <v>10202348.560000002</v>
      </c>
      <c r="K16" s="1456">
        <f>pers!L38+pers!L39+pers!L40+mat!N43</f>
        <v>10202348.560000002</v>
      </c>
      <c r="L16" s="1456">
        <f>pers!M38+pers!M39+pers!M40+mat!O43</f>
        <v>10202348.560000002</v>
      </c>
      <c r="M16" s="187"/>
      <c r="N16" s="816"/>
    </row>
    <row r="17" spans="2:14" x14ac:dyDescent="0.2">
      <c r="B17" s="883"/>
      <c r="C17" s="493"/>
      <c r="D17" s="49" t="s">
        <v>168</v>
      </c>
      <c r="E17" s="187"/>
      <c r="F17" s="1233">
        <v>0</v>
      </c>
      <c r="G17" s="1590"/>
      <c r="H17" s="537">
        <f>pers!I191+mat!K66</f>
        <v>0</v>
      </c>
      <c r="I17" s="537">
        <f>pers!J191+mat!L66</f>
        <v>0</v>
      </c>
      <c r="J17" s="537">
        <f>pers!K191+mat!M66</f>
        <v>0</v>
      </c>
      <c r="K17" s="537">
        <f>pers!L191+mat!N66</f>
        <v>0</v>
      </c>
      <c r="L17" s="537">
        <f>pers!M191+mat!O66</f>
        <v>0</v>
      </c>
      <c r="M17" s="187"/>
      <c r="N17" s="77"/>
    </row>
    <row r="18" spans="2:14" x14ac:dyDescent="0.2">
      <c r="B18" s="883"/>
      <c r="C18" s="493"/>
      <c r="D18" s="420" t="s">
        <v>831</v>
      </c>
      <c r="E18" s="187"/>
      <c r="F18" s="1233">
        <v>0</v>
      </c>
      <c r="G18" s="1590"/>
      <c r="H18" s="537">
        <f>pers!I198</f>
        <v>0</v>
      </c>
      <c r="I18" s="537">
        <f>pers!J198</f>
        <v>0</v>
      </c>
      <c r="J18" s="537">
        <f>pers!K198</f>
        <v>0</v>
      </c>
      <c r="K18" s="537">
        <f>pers!L198</f>
        <v>0</v>
      </c>
      <c r="L18" s="537">
        <f>pers!M198</f>
        <v>0</v>
      </c>
      <c r="M18" s="187"/>
      <c r="N18" s="816"/>
    </row>
    <row r="19" spans="2:14" x14ac:dyDescent="0.2">
      <c r="B19" s="883"/>
      <c r="C19" s="493"/>
      <c r="D19" s="420" t="s">
        <v>832</v>
      </c>
      <c r="E19" s="187"/>
      <c r="F19" s="1233">
        <v>0</v>
      </c>
      <c r="G19" s="1590"/>
      <c r="H19" s="537">
        <f>pers!I205</f>
        <v>0</v>
      </c>
      <c r="I19" s="537">
        <f>pers!J205</f>
        <v>0</v>
      </c>
      <c r="J19" s="537">
        <f>pers!K205</f>
        <v>0</v>
      </c>
      <c r="K19" s="537">
        <f>pers!L205</f>
        <v>0</v>
      </c>
      <c r="L19" s="537">
        <f>pers!M205</f>
        <v>0</v>
      </c>
      <c r="M19" s="187"/>
      <c r="N19" s="816"/>
    </row>
    <row r="20" spans="2:14" x14ac:dyDescent="0.2">
      <c r="B20" s="883"/>
      <c r="C20" s="493"/>
      <c r="D20" s="49" t="s">
        <v>180</v>
      </c>
      <c r="E20" s="187"/>
      <c r="F20" s="1232">
        <v>0</v>
      </c>
      <c r="G20" s="1590"/>
      <c r="H20" s="537">
        <f>mat!K74+mat!K84</f>
        <v>0</v>
      </c>
      <c r="I20" s="537">
        <f>mat!L74+mat!L84</f>
        <v>0</v>
      </c>
      <c r="J20" s="537">
        <f>mat!M74+mat!M84</f>
        <v>0</v>
      </c>
      <c r="K20" s="537">
        <f>mat!N74+mat!N84</f>
        <v>0</v>
      </c>
      <c r="L20" s="537">
        <f>mat!O74+mat!O84</f>
        <v>0</v>
      </c>
      <c r="M20" s="187"/>
      <c r="N20" s="77"/>
    </row>
    <row r="21" spans="2:14" x14ac:dyDescent="0.2">
      <c r="B21" s="883"/>
      <c r="C21" s="493"/>
      <c r="D21" s="49" t="s">
        <v>181</v>
      </c>
      <c r="E21" s="187"/>
      <c r="F21" s="1234">
        <v>0</v>
      </c>
      <c r="G21" s="1591"/>
      <c r="H21" s="653">
        <f>pers!I192+mat!K73+mat!K83</f>
        <v>0</v>
      </c>
      <c r="I21" s="653">
        <f>pers!J192+mat!L73+mat!L83</f>
        <v>0</v>
      </c>
      <c r="J21" s="653">
        <f>pers!K192+mat!M73+mat!M83</f>
        <v>0</v>
      </c>
      <c r="K21" s="653">
        <f>pers!L192+mat!N73+mat!N83</f>
        <v>0</v>
      </c>
      <c r="L21" s="653">
        <f>pers!M192+mat!O73+mat!O83</f>
        <v>0</v>
      </c>
      <c r="M21" s="187"/>
      <c r="N21" s="77"/>
    </row>
    <row r="22" spans="2:14" x14ac:dyDescent="0.2">
      <c r="B22" s="883"/>
      <c r="C22" s="493"/>
      <c r="D22" s="49" t="s">
        <v>94</v>
      </c>
      <c r="E22" s="187"/>
      <c r="F22" s="1234">
        <v>0</v>
      </c>
      <c r="G22" s="1591"/>
      <c r="H22" s="653">
        <f>pers!I193+(mat!K92-mat!K73-mat!K74-mat!K83-mat!K84)</f>
        <v>0</v>
      </c>
      <c r="I22" s="653">
        <f>pers!J193+(mat!L92-mat!L73-mat!L74-mat!L83-mat!L84)</f>
        <v>0</v>
      </c>
      <c r="J22" s="653">
        <f>pers!K193+(mat!M92-mat!M73-mat!M74-mat!M83-mat!M84)</f>
        <v>0</v>
      </c>
      <c r="K22" s="653">
        <f>pers!L193+(mat!N92-mat!N73-mat!N74-mat!N83-mat!N84)</f>
        <v>0</v>
      </c>
      <c r="L22" s="653">
        <f>pers!M193+(mat!O92-mat!O73-mat!O74-mat!O83-mat!O84)</f>
        <v>0</v>
      </c>
      <c r="M22" s="187"/>
      <c r="N22" s="77"/>
    </row>
    <row r="23" spans="2:14" x14ac:dyDescent="0.2">
      <c r="B23" s="883"/>
      <c r="C23" s="493"/>
      <c r="D23" s="432"/>
      <c r="E23" s="195"/>
      <c r="F23" s="539">
        <f t="shared" ref="F23:K23" si="0">F14+F17+F20+F21+F22</f>
        <v>0</v>
      </c>
      <c r="G23" s="1592"/>
      <c r="H23" s="539">
        <f t="shared" si="0"/>
        <v>20073429.319975823</v>
      </c>
      <c r="I23" s="539">
        <f t="shared" si="0"/>
        <v>19640814.939132731</v>
      </c>
      <c r="J23" s="539">
        <f t="shared" si="0"/>
        <v>20113192.061947528</v>
      </c>
      <c r="K23" s="539">
        <f t="shared" si="0"/>
        <v>20113192.061947528</v>
      </c>
      <c r="L23" s="539">
        <f>L14+L17+L20+L21+L22</f>
        <v>20113192.061947528</v>
      </c>
      <c r="M23" s="187"/>
      <c r="N23" s="77"/>
    </row>
    <row r="24" spans="2:14" x14ac:dyDescent="0.2">
      <c r="B24" s="1213"/>
      <c r="C24" s="1210"/>
      <c r="D24" s="195" t="s">
        <v>182</v>
      </c>
      <c r="E24" s="195"/>
      <c r="F24" s="446"/>
      <c r="G24" s="446"/>
      <c r="H24" s="446"/>
      <c r="I24" s="446"/>
      <c r="J24" s="446"/>
      <c r="K24" s="446"/>
      <c r="L24" s="446"/>
      <c r="M24" s="187"/>
      <c r="N24" s="77"/>
    </row>
    <row r="25" spans="2:14" x14ac:dyDescent="0.2">
      <c r="B25" s="1213"/>
      <c r="C25" s="1210"/>
      <c r="D25" s="187" t="s">
        <v>833</v>
      </c>
      <c r="E25" s="195"/>
      <c r="F25" s="1234">
        <v>0</v>
      </c>
      <c r="G25" s="1591"/>
      <c r="H25" s="1457">
        <f>pers!I218</f>
        <v>6155086.0158333331</v>
      </c>
      <c r="I25" s="1457">
        <f>pers!J218</f>
        <v>6344367.8808333334</v>
      </c>
      <c r="J25" s="1457">
        <f>pers!K218</f>
        <v>6259105.5999999996</v>
      </c>
      <c r="K25" s="1457">
        <f>pers!L218</f>
        <v>6259105.5999999996</v>
      </c>
      <c r="L25" s="1457">
        <f>pers!M218</f>
        <v>6259105.5999999996</v>
      </c>
      <c r="M25" s="187"/>
      <c r="N25" s="816"/>
    </row>
    <row r="26" spans="2:14" x14ac:dyDescent="0.2">
      <c r="B26" s="1213"/>
      <c r="C26" s="1210"/>
      <c r="D26" s="187" t="s">
        <v>834</v>
      </c>
      <c r="E26" s="195"/>
      <c r="F26" s="1234">
        <v>0</v>
      </c>
      <c r="G26" s="1591"/>
      <c r="H26" s="1457">
        <f>pers!I219+mat!K156</f>
        <v>211807.8</v>
      </c>
      <c r="I26" s="1457">
        <f>pers!J219+mat!L156</f>
        <v>168750.49</v>
      </c>
      <c r="J26" s="1457">
        <f>pers!K219+mat!M156</f>
        <v>168750.49</v>
      </c>
      <c r="K26" s="1457">
        <f>pers!L219+mat!N156</f>
        <v>168750.49</v>
      </c>
      <c r="L26" s="1457">
        <f>pers!M219+mat!O156</f>
        <v>168750.49</v>
      </c>
      <c r="M26" s="187"/>
      <c r="N26" s="816"/>
    </row>
    <row r="27" spans="2:14" x14ac:dyDescent="0.2">
      <c r="B27" s="1213"/>
      <c r="C27" s="1210"/>
      <c r="D27" s="187" t="s">
        <v>835</v>
      </c>
      <c r="E27" s="195"/>
      <c r="F27" s="1234">
        <v>0</v>
      </c>
      <c r="G27" s="1591"/>
      <c r="H27" s="1457">
        <f>pers!I220+mat!K139</f>
        <v>129944.64000000001</v>
      </c>
      <c r="I27" s="1457">
        <f>pers!J220+mat!L139</f>
        <v>0</v>
      </c>
      <c r="J27" s="1457">
        <f>pers!K220+mat!M139</f>
        <v>0</v>
      </c>
      <c r="K27" s="1457">
        <f>pers!L220+mat!N139</f>
        <v>0</v>
      </c>
      <c r="L27" s="1457">
        <f>pers!M220+mat!O139</f>
        <v>0</v>
      </c>
      <c r="M27" s="187"/>
      <c r="N27" s="816"/>
    </row>
    <row r="28" spans="2:14" x14ac:dyDescent="0.2">
      <c r="B28" s="1213"/>
      <c r="C28" s="1210"/>
      <c r="D28" s="187" t="s">
        <v>836</v>
      </c>
      <c r="E28" s="195"/>
      <c r="F28" s="1234">
        <v>0</v>
      </c>
      <c r="G28" s="1591"/>
      <c r="H28" s="1457">
        <f>pers!I221+mat!K140</f>
        <v>1958451.36</v>
      </c>
      <c r="I28" s="1457">
        <f>pers!J221+mat!L140</f>
        <v>2220222.9600000004</v>
      </c>
      <c r="J28" s="1457">
        <f>pers!K221+mat!M140</f>
        <v>2282403.1199999996</v>
      </c>
      <c r="K28" s="1457">
        <f>pers!L221+mat!N140</f>
        <v>2282403.1199999996</v>
      </c>
      <c r="L28" s="1457">
        <f>pers!M221+mat!O140</f>
        <v>2278340.1599999997</v>
      </c>
      <c r="M28" s="187"/>
      <c r="N28" s="816"/>
    </row>
    <row r="29" spans="2:14" x14ac:dyDescent="0.2">
      <c r="B29" s="1213"/>
      <c r="C29" s="1210"/>
      <c r="D29" s="187" t="s">
        <v>871</v>
      </c>
      <c r="E29" s="195"/>
      <c r="F29" s="1234">
        <v>0</v>
      </c>
      <c r="G29" s="1591"/>
      <c r="H29" s="1457">
        <f>pers!I222</f>
        <v>0</v>
      </c>
      <c r="I29" s="1457">
        <f>pers!J222</f>
        <v>0</v>
      </c>
      <c r="J29" s="1457">
        <f>pers!K222</f>
        <v>0</v>
      </c>
      <c r="K29" s="1457">
        <f>pers!L222</f>
        <v>0</v>
      </c>
      <c r="L29" s="1457">
        <f>pers!M222</f>
        <v>0</v>
      </c>
      <c r="M29" s="187"/>
      <c r="N29" s="816"/>
    </row>
    <row r="30" spans="2:14" x14ac:dyDescent="0.2">
      <c r="B30" s="1213"/>
      <c r="C30" s="1210"/>
      <c r="D30" s="187" t="s">
        <v>838</v>
      </c>
      <c r="E30" s="195"/>
      <c r="F30" s="1234">
        <v>0</v>
      </c>
      <c r="G30" s="1591"/>
      <c r="H30" s="1457">
        <f>pers!I172+mat!K181</f>
        <v>13579</v>
      </c>
      <c r="I30" s="1457">
        <f>pers!J172+mat!L181</f>
        <v>13579</v>
      </c>
      <c r="J30" s="1457">
        <f>pers!K172+mat!M181</f>
        <v>13579</v>
      </c>
      <c r="K30" s="1457">
        <f>pers!L172+mat!N181</f>
        <v>13579</v>
      </c>
      <c r="L30" s="1457">
        <f>pers!M172+mat!O181</f>
        <v>13579</v>
      </c>
      <c r="M30" s="187"/>
      <c r="N30" s="816"/>
    </row>
    <row r="31" spans="2:14" x14ac:dyDescent="0.2">
      <c r="B31" s="883"/>
      <c r="C31" s="493"/>
      <c r="D31" s="447" t="s">
        <v>853</v>
      </c>
      <c r="E31" s="37"/>
      <c r="F31" s="1233">
        <v>0</v>
      </c>
      <c r="G31" s="1590"/>
      <c r="H31" s="537">
        <f>pers!I223</f>
        <v>89215.768333332613</v>
      </c>
      <c r="I31" s="537">
        <f>pers!J223</f>
        <v>94953.679999999702</v>
      </c>
      <c r="J31" s="537">
        <f>pers!K223</f>
        <v>100676.3200000003</v>
      </c>
      <c r="K31" s="537">
        <f>pers!L223</f>
        <v>106893.30000000075</v>
      </c>
      <c r="L31" s="537">
        <f>pers!M223</f>
        <v>113587.6799999997</v>
      </c>
      <c r="M31" s="187"/>
      <c r="N31" s="77"/>
    </row>
    <row r="32" spans="2:14" x14ac:dyDescent="0.2">
      <c r="B32" s="883"/>
      <c r="C32" s="493"/>
      <c r="D32" s="187" t="s">
        <v>95</v>
      </c>
      <c r="E32" s="187"/>
      <c r="F32" s="1233">
        <f>mat!J112</f>
        <v>0</v>
      </c>
      <c r="G32" s="1590"/>
      <c r="H32" s="537">
        <f>mat!K112</f>
        <v>13875</v>
      </c>
      <c r="I32" s="537">
        <f>mat!L112</f>
        <v>13875</v>
      </c>
      <c r="J32" s="537">
        <f>mat!M112</f>
        <v>13875</v>
      </c>
      <c r="K32" s="537">
        <f>mat!N112</f>
        <v>13875</v>
      </c>
      <c r="L32" s="537">
        <f>mat!O112</f>
        <v>13875</v>
      </c>
      <c r="M32" s="187"/>
      <c r="N32" s="77"/>
    </row>
    <row r="33" spans="2:14" x14ac:dyDescent="0.2">
      <c r="B33" s="883"/>
      <c r="C33" s="493"/>
      <c r="D33" s="187" t="s">
        <v>96</v>
      </c>
      <c r="E33" s="187"/>
      <c r="F33" s="1233">
        <f>mat!J132</f>
        <v>0</v>
      </c>
      <c r="G33" s="1590"/>
      <c r="H33" s="537">
        <f>mat!K132</f>
        <v>0</v>
      </c>
      <c r="I33" s="537">
        <f>mat!L132</f>
        <v>0</v>
      </c>
      <c r="J33" s="537">
        <f>mat!M132</f>
        <v>0</v>
      </c>
      <c r="K33" s="537">
        <f>mat!N132</f>
        <v>0</v>
      </c>
      <c r="L33" s="537">
        <f>mat!O132</f>
        <v>0</v>
      </c>
      <c r="M33" s="187"/>
      <c r="N33" s="77"/>
    </row>
    <row r="34" spans="2:14" x14ac:dyDescent="0.2">
      <c r="B34" s="883"/>
      <c r="C34" s="493"/>
      <c r="D34" s="187" t="s">
        <v>183</v>
      </c>
      <c r="E34" s="187"/>
      <c r="F34" s="1233">
        <f>SUM(mat!J144:J150)+SUM(mat!J160:J166)</f>
        <v>0</v>
      </c>
      <c r="G34" s="1590"/>
      <c r="H34" s="537">
        <f>SUM(mat!K144:K150)+SUM(mat!K160:K166)</f>
        <v>0</v>
      </c>
      <c r="I34" s="537">
        <f>SUM(mat!L144:L150)+SUM(mat!L160:L166)</f>
        <v>0</v>
      </c>
      <c r="J34" s="537">
        <f>SUM(mat!M144:M150)+SUM(mat!M160:M166)</f>
        <v>0</v>
      </c>
      <c r="K34" s="537">
        <f>SUM(mat!N144:N150)+SUM(mat!N160:N166)</f>
        <v>0</v>
      </c>
      <c r="L34" s="537">
        <f>SUM(mat!O144:O150)+SUM(mat!O160:O166)</f>
        <v>0</v>
      </c>
      <c r="M34" s="187"/>
      <c r="N34" s="77"/>
    </row>
    <row r="35" spans="2:14" x14ac:dyDescent="0.2">
      <c r="B35" s="883"/>
      <c r="C35" s="493"/>
      <c r="D35" s="432"/>
      <c r="E35" s="187"/>
      <c r="F35" s="539">
        <f t="shared" ref="F35:K35" si="1">SUM(F25:F34)</f>
        <v>0</v>
      </c>
      <c r="G35" s="1592"/>
      <c r="H35" s="539">
        <f t="shared" si="1"/>
        <v>8571959.5841666646</v>
      </c>
      <c r="I35" s="539">
        <f t="shared" si="1"/>
        <v>8855749.0108333342</v>
      </c>
      <c r="J35" s="539">
        <f t="shared" si="1"/>
        <v>8838389.5299999993</v>
      </c>
      <c r="K35" s="539">
        <f t="shared" si="1"/>
        <v>8844606.5099999998</v>
      </c>
      <c r="L35" s="539">
        <f>SUM(L25:L34)</f>
        <v>8847237.9299999997</v>
      </c>
      <c r="M35" s="187"/>
      <c r="N35" s="77"/>
    </row>
    <row r="36" spans="2:14" x14ac:dyDescent="0.2">
      <c r="B36" s="883"/>
      <c r="C36" s="493"/>
      <c r="D36" s="448"/>
      <c r="E36" s="37"/>
      <c r="F36" s="449"/>
      <c r="G36" s="1589"/>
      <c r="H36" s="449"/>
      <c r="I36" s="449"/>
      <c r="J36" s="449"/>
      <c r="K36" s="449"/>
      <c r="L36" s="449"/>
      <c r="M36" s="187"/>
      <c r="N36" s="77"/>
    </row>
    <row r="37" spans="2:14" x14ac:dyDescent="0.2">
      <c r="B37" s="950"/>
      <c r="C37" s="486"/>
      <c r="D37" s="432" t="s">
        <v>184</v>
      </c>
      <c r="E37" s="37"/>
      <c r="F37" s="539">
        <f t="shared" ref="F37:K37" si="2">F23-F35</f>
        <v>0</v>
      </c>
      <c r="G37" s="1592"/>
      <c r="H37" s="539">
        <f t="shared" si="2"/>
        <v>11501469.735809159</v>
      </c>
      <c r="I37" s="539">
        <f t="shared" si="2"/>
        <v>10785065.928299397</v>
      </c>
      <c r="J37" s="539">
        <f t="shared" si="2"/>
        <v>11274802.531947529</v>
      </c>
      <c r="K37" s="539">
        <f t="shared" si="2"/>
        <v>11268585.551947528</v>
      </c>
      <c r="L37" s="539">
        <f>L23-L35</f>
        <v>11265954.131947529</v>
      </c>
      <c r="M37" s="187"/>
      <c r="N37" s="77"/>
    </row>
    <row r="38" spans="2:14" x14ac:dyDescent="0.2">
      <c r="B38" s="883"/>
      <c r="C38" s="493"/>
      <c r="D38" s="420"/>
      <c r="E38" s="37"/>
      <c r="F38" s="449"/>
      <c r="G38" s="449"/>
      <c r="H38" s="449"/>
      <c r="I38" s="449"/>
      <c r="J38" s="449"/>
      <c r="K38" s="449"/>
      <c r="L38" s="449"/>
      <c r="M38" s="187"/>
      <c r="N38" s="77"/>
    </row>
    <row r="39" spans="2:14" x14ac:dyDescent="0.2">
      <c r="B39" s="883"/>
      <c r="C39" s="76"/>
      <c r="D39" s="63"/>
      <c r="E39" s="55"/>
      <c r="F39" s="441"/>
      <c r="G39" s="441"/>
      <c r="H39" s="441"/>
      <c r="I39" s="441"/>
      <c r="J39" s="441"/>
      <c r="K39" s="441"/>
      <c r="L39" s="441"/>
      <c r="M39" s="76"/>
      <c r="N39" s="77"/>
    </row>
    <row r="40" spans="2:14" x14ac:dyDescent="0.2">
      <c r="B40" s="883"/>
      <c r="C40" s="493"/>
      <c r="D40" s="420"/>
      <c r="E40" s="37"/>
      <c r="F40" s="445"/>
      <c r="G40" s="445"/>
      <c r="H40" s="445"/>
      <c r="I40" s="445"/>
      <c r="J40" s="445"/>
      <c r="K40" s="445"/>
      <c r="L40" s="445"/>
      <c r="M40" s="187"/>
      <c r="N40" s="77"/>
    </row>
    <row r="41" spans="2:14" x14ac:dyDescent="0.2">
      <c r="B41" s="883"/>
      <c r="C41" s="493"/>
      <c r="D41" s="578" t="s">
        <v>162</v>
      </c>
      <c r="E41" s="37"/>
      <c r="F41" s="445"/>
      <c r="G41" s="445"/>
      <c r="H41" s="445"/>
      <c r="I41" s="445"/>
      <c r="J41" s="445"/>
      <c r="K41" s="445"/>
      <c r="L41" s="445"/>
      <c r="M41" s="187"/>
      <c r="N41" s="77"/>
    </row>
    <row r="42" spans="2:14" x14ac:dyDescent="0.2">
      <c r="B42" s="883"/>
      <c r="C42" s="493"/>
      <c r="D42" s="420"/>
      <c r="E42" s="37"/>
      <c r="F42" s="445"/>
      <c r="G42" s="1588"/>
      <c r="H42" s="445"/>
      <c r="I42" s="445"/>
      <c r="J42" s="445"/>
      <c r="K42" s="445"/>
      <c r="L42" s="445"/>
      <c r="M42" s="187"/>
      <c r="N42" s="77"/>
    </row>
    <row r="43" spans="2:14" x14ac:dyDescent="0.2">
      <c r="B43" s="883"/>
      <c r="C43" s="493"/>
      <c r="D43" s="49" t="s">
        <v>98</v>
      </c>
      <c r="E43" s="37"/>
      <c r="F43" s="538">
        <v>0</v>
      </c>
      <c r="G43" s="1593"/>
      <c r="H43" s="538">
        <v>0</v>
      </c>
      <c r="I43" s="538">
        <v>0</v>
      </c>
      <c r="J43" s="538">
        <v>0</v>
      </c>
      <c r="K43" s="1447">
        <f>+J43</f>
        <v>0</v>
      </c>
      <c r="L43" s="1447">
        <f>+K43</f>
        <v>0</v>
      </c>
      <c r="M43" s="187"/>
      <c r="N43" s="77"/>
    </row>
    <row r="44" spans="2:14" x14ac:dyDescent="0.2">
      <c r="B44" s="883"/>
      <c r="C44" s="493"/>
      <c r="D44" s="49" t="s">
        <v>99</v>
      </c>
      <c r="E44" s="37"/>
      <c r="F44" s="538">
        <v>0</v>
      </c>
      <c r="G44" s="1593"/>
      <c r="H44" s="538">
        <v>0</v>
      </c>
      <c r="I44" s="538">
        <v>0</v>
      </c>
      <c r="J44" s="538">
        <v>0</v>
      </c>
      <c r="K44" s="1447">
        <f>+J44</f>
        <v>0</v>
      </c>
      <c r="L44" s="1447">
        <f>+K44</f>
        <v>0</v>
      </c>
      <c r="M44" s="187"/>
      <c r="N44" s="77"/>
    </row>
    <row r="45" spans="2:14" x14ac:dyDescent="0.2">
      <c r="B45" s="883"/>
      <c r="C45" s="493"/>
      <c r="D45" s="49"/>
      <c r="E45" s="37"/>
      <c r="F45" s="445"/>
      <c r="G45" s="1588"/>
      <c r="H45" s="445"/>
      <c r="I45" s="445"/>
      <c r="J45" s="445"/>
      <c r="K45" s="445"/>
      <c r="L45" s="445"/>
      <c r="M45" s="187"/>
      <c r="N45" s="77"/>
    </row>
    <row r="46" spans="2:14" x14ac:dyDescent="0.2">
      <c r="B46" s="950"/>
      <c r="C46" s="486"/>
      <c r="D46" s="432" t="s">
        <v>185</v>
      </c>
      <c r="E46" s="195"/>
      <c r="F46" s="539">
        <f t="shared" ref="F46:K46" si="3">F43-F44</f>
        <v>0</v>
      </c>
      <c r="G46" s="1592"/>
      <c r="H46" s="539">
        <f t="shared" si="3"/>
        <v>0</v>
      </c>
      <c r="I46" s="539">
        <f t="shared" si="3"/>
        <v>0</v>
      </c>
      <c r="J46" s="539">
        <f t="shared" si="3"/>
        <v>0</v>
      </c>
      <c r="K46" s="539">
        <f t="shared" si="3"/>
        <v>0</v>
      </c>
      <c r="L46" s="539">
        <f>L43-L44</f>
        <v>0</v>
      </c>
      <c r="M46" s="195"/>
      <c r="N46" s="90"/>
    </row>
    <row r="47" spans="2:14" x14ac:dyDescent="0.2">
      <c r="B47" s="883"/>
      <c r="C47" s="493"/>
      <c r="D47" s="49"/>
      <c r="E47" s="37"/>
      <c r="F47" s="445"/>
      <c r="G47" s="1588"/>
      <c r="H47" s="445"/>
      <c r="I47" s="445"/>
      <c r="J47" s="445"/>
      <c r="K47" s="445"/>
      <c r="L47" s="445"/>
      <c r="M47" s="187"/>
      <c r="N47" s="77"/>
    </row>
    <row r="48" spans="2:14" x14ac:dyDescent="0.2">
      <c r="B48" s="883"/>
      <c r="C48" s="76"/>
      <c r="D48" s="63"/>
      <c r="E48" s="55"/>
      <c r="F48" s="441"/>
      <c r="G48" s="441"/>
      <c r="H48" s="441"/>
      <c r="I48" s="441"/>
      <c r="J48" s="441"/>
      <c r="K48" s="441"/>
      <c r="L48" s="441"/>
      <c r="M48" s="76"/>
      <c r="N48" s="77"/>
    </row>
    <row r="49" spans="2:28" x14ac:dyDescent="0.2">
      <c r="B49" s="883"/>
      <c r="C49" s="493"/>
      <c r="D49" s="49"/>
      <c r="E49" s="37"/>
      <c r="F49" s="445"/>
      <c r="G49" s="445"/>
      <c r="H49" s="445"/>
      <c r="I49" s="445"/>
      <c r="J49" s="445"/>
      <c r="K49" s="445"/>
      <c r="L49" s="445"/>
      <c r="M49" s="187"/>
      <c r="N49" s="77"/>
    </row>
    <row r="50" spans="2:28" x14ac:dyDescent="0.2">
      <c r="B50" s="950"/>
      <c r="C50" s="486"/>
      <c r="D50" s="578" t="s">
        <v>186</v>
      </c>
      <c r="E50" s="195"/>
      <c r="F50" s="539">
        <f t="shared" ref="F50:K50" si="4">F37+F46</f>
        <v>0</v>
      </c>
      <c r="G50" s="1592"/>
      <c r="H50" s="539">
        <f t="shared" si="4"/>
        <v>11501469.735809159</v>
      </c>
      <c r="I50" s="539">
        <f t="shared" si="4"/>
        <v>10785065.928299397</v>
      </c>
      <c r="J50" s="539">
        <f t="shared" si="4"/>
        <v>11274802.531947529</v>
      </c>
      <c r="K50" s="539">
        <f t="shared" si="4"/>
        <v>11268585.551947528</v>
      </c>
      <c r="L50" s="539">
        <f>L37+L46</f>
        <v>11265954.131947529</v>
      </c>
      <c r="M50" s="195"/>
      <c r="N50" s="90"/>
    </row>
    <row r="51" spans="2:28" x14ac:dyDescent="0.2">
      <c r="B51" s="883"/>
      <c r="C51" s="493"/>
      <c r="D51" s="595"/>
      <c r="E51" s="37"/>
      <c r="F51" s="445"/>
      <c r="G51" s="445"/>
      <c r="H51" s="445"/>
      <c r="I51" s="445"/>
      <c r="J51" s="445"/>
      <c r="K51" s="445"/>
      <c r="L51" s="445"/>
      <c r="M51" s="187"/>
      <c r="N51" s="77"/>
      <c r="Q51" s="113"/>
      <c r="R51" s="113"/>
      <c r="S51" s="113"/>
      <c r="T51" s="113"/>
      <c r="U51" s="113"/>
      <c r="V51" s="113"/>
      <c r="W51" s="113"/>
      <c r="X51" s="113"/>
      <c r="Y51" s="113"/>
      <c r="Z51" s="113"/>
      <c r="AA51" s="113"/>
      <c r="AB51" s="113"/>
    </row>
    <row r="52" spans="2:28" x14ac:dyDescent="0.2">
      <c r="B52" s="883"/>
      <c r="C52" s="76"/>
      <c r="D52" s="411"/>
      <c r="E52" s="76"/>
      <c r="F52" s="442"/>
      <c r="G52" s="442"/>
      <c r="H52" s="442"/>
      <c r="I52" s="442"/>
      <c r="J52" s="442"/>
      <c r="K52" s="442"/>
      <c r="L52" s="442"/>
      <c r="M52" s="76"/>
      <c r="N52" s="77"/>
    </row>
    <row r="53" spans="2:28" x14ac:dyDescent="0.2">
      <c r="B53" s="883"/>
      <c r="C53" s="76"/>
      <c r="D53" s="411"/>
      <c r="E53" s="76"/>
      <c r="F53" s="442"/>
      <c r="G53" s="442"/>
      <c r="H53" s="442"/>
      <c r="I53" s="442"/>
      <c r="J53" s="442"/>
      <c r="K53" s="442"/>
      <c r="L53" s="442"/>
      <c r="M53" s="76"/>
      <c r="N53" s="77"/>
    </row>
    <row r="54" spans="2:28" x14ac:dyDescent="0.2">
      <c r="B54" s="1341"/>
      <c r="C54" s="629"/>
      <c r="D54" s="629"/>
      <c r="E54" s="629"/>
      <c r="F54" s="629"/>
      <c r="G54" s="1342"/>
      <c r="H54" s="629"/>
      <c r="I54" s="629"/>
      <c r="J54" s="629"/>
      <c r="K54" s="629"/>
      <c r="L54" s="629"/>
      <c r="M54" s="629"/>
      <c r="N54" s="1343"/>
    </row>
    <row r="55" spans="2:28" ht="18.75" x14ac:dyDescent="0.3">
      <c r="B55" s="846"/>
      <c r="C55" s="602" t="s">
        <v>43</v>
      </c>
      <c r="D55" s="173"/>
      <c r="E55" s="200"/>
      <c r="F55" s="1399" t="s">
        <v>849</v>
      </c>
      <c r="G55" s="1458"/>
      <c r="H55" s="200"/>
      <c r="I55" s="635"/>
      <c r="J55" s="635"/>
      <c r="K55" s="635"/>
      <c r="L55" s="635"/>
      <c r="M55" s="635"/>
      <c r="N55" s="847"/>
    </row>
    <row r="56" spans="2:28" ht="18.75" x14ac:dyDescent="0.3">
      <c r="B56" s="846"/>
      <c r="C56" s="1360" t="str">
        <f>C5</f>
        <v>Voorbeeld SWV VO Alkmaar</v>
      </c>
      <c r="D56" s="76"/>
      <c r="E56" s="76"/>
      <c r="F56" s="76"/>
      <c r="G56" s="76"/>
      <c r="H56" s="76"/>
      <c r="I56" s="635"/>
      <c r="J56" s="635"/>
      <c r="K56" s="635"/>
      <c r="L56" s="635"/>
      <c r="M56" s="635"/>
      <c r="N56" s="847"/>
    </row>
    <row r="57" spans="2:28" ht="15" x14ac:dyDescent="0.25">
      <c r="B57" s="846"/>
      <c r="C57" s="76"/>
      <c r="D57" s="1400" t="s">
        <v>850</v>
      </c>
      <c r="E57" s="434"/>
      <c r="F57" s="53"/>
      <c r="G57" s="53"/>
      <c r="H57" s="53"/>
      <c r="I57" s="635"/>
      <c r="J57" s="635"/>
      <c r="K57" s="635"/>
      <c r="L57" s="635"/>
      <c r="M57" s="635"/>
      <c r="N57" s="847"/>
    </row>
    <row r="58" spans="2:28" x14ac:dyDescent="0.2">
      <c r="B58" s="846"/>
      <c r="C58" s="635"/>
      <c r="D58" s="635"/>
      <c r="E58" s="635"/>
      <c r="F58" s="635"/>
      <c r="G58" s="1337"/>
      <c r="H58" s="635"/>
      <c r="I58" s="635"/>
      <c r="J58" s="635"/>
      <c r="K58" s="635"/>
      <c r="L58" s="635"/>
      <c r="M58" s="635"/>
      <c r="N58" s="847"/>
    </row>
    <row r="59" spans="2:28" ht="15.75" x14ac:dyDescent="0.25">
      <c r="B59" s="846"/>
      <c r="C59" s="635"/>
      <c r="D59" s="788" t="s">
        <v>119</v>
      </c>
      <c r="E59" s="438"/>
      <c r="F59" s="1504" t="str">
        <f>tab!D2</f>
        <v>2017/18</v>
      </c>
      <c r="G59" s="1504"/>
      <c r="H59" s="1504" t="str">
        <f>tab!F2</f>
        <v>2019/20</v>
      </c>
      <c r="I59" s="1504" t="str">
        <f>tab!G2</f>
        <v>2020/21</v>
      </c>
      <c r="J59" s="1504" t="str">
        <f>tab!H2</f>
        <v>2021/22</v>
      </c>
      <c r="K59" s="1504" t="str">
        <f>tab!I2</f>
        <v>2022/23</v>
      </c>
      <c r="L59" s="1504" t="str">
        <f>tab!J2</f>
        <v>2023/24</v>
      </c>
      <c r="M59" s="635"/>
      <c r="N59" s="847"/>
    </row>
    <row r="60" spans="2:28" ht="15.75" x14ac:dyDescent="0.25">
      <c r="B60" s="846"/>
      <c r="C60" s="635"/>
      <c r="D60" s="1404"/>
      <c r="E60" s="1405"/>
      <c r="F60" s="1406"/>
      <c r="G60" s="1406"/>
      <c r="H60" s="1406"/>
      <c r="I60" s="1406"/>
      <c r="J60" s="1406"/>
      <c r="K60" s="1407"/>
      <c r="L60" s="1407"/>
      <c r="M60" s="635"/>
      <c r="N60" s="847"/>
    </row>
    <row r="61" spans="2:28" ht="15.75" x14ac:dyDescent="0.25">
      <c r="B61" s="846"/>
      <c r="C61" s="682"/>
      <c r="D61" s="1401"/>
      <c r="E61" s="1402"/>
      <c r="F61" s="1403"/>
      <c r="G61" s="1403"/>
      <c r="H61" s="1403"/>
      <c r="I61" s="1403"/>
      <c r="J61" s="1403"/>
      <c r="K61" s="1336"/>
      <c r="L61" s="1336"/>
      <c r="M61" s="682"/>
      <c r="N61" s="847"/>
    </row>
    <row r="62" spans="2:28" x14ac:dyDescent="0.2">
      <c r="B62" s="846"/>
      <c r="C62" s="682"/>
      <c r="D62" s="567" t="s">
        <v>251</v>
      </c>
      <c r="E62" s="1402"/>
      <c r="F62" s="1403"/>
      <c r="G62" s="1403"/>
      <c r="H62" s="1403"/>
      <c r="I62" s="1403"/>
      <c r="J62" s="1403"/>
      <c r="K62" s="1336"/>
      <c r="L62" s="1336"/>
      <c r="M62" s="682"/>
      <c r="N62" s="847"/>
    </row>
    <row r="63" spans="2:28" ht="15.75" x14ac:dyDescent="0.25">
      <c r="B63" s="846"/>
      <c r="C63" s="682"/>
      <c r="D63" s="1401"/>
      <c r="E63" s="1402"/>
      <c r="F63" s="1403"/>
      <c r="G63" s="1424"/>
      <c r="H63" s="1424"/>
      <c r="I63" s="1424"/>
      <c r="J63" s="1424"/>
      <c r="K63" s="1336"/>
      <c r="L63" s="1336"/>
      <c r="M63" s="682"/>
      <c r="N63" s="847"/>
    </row>
    <row r="64" spans="2:28" x14ac:dyDescent="0.2">
      <c r="B64" s="846"/>
      <c r="C64" s="682"/>
      <c r="D64" s="1261" t="s">
        <v>776</v>
      </c>
      <c r="E64" s="682"/>
      <c r="F64" s="1339"/>
      <c r="G64" s="1339"/>
      <c r="H64" s="1339"/>
      <c r="I64" s="1339"/>
      <c r="J64" s="1339"/>
      <c r="K64" s="1339"/>
      <c r="L64" s="1339"/>
      <c r="M64" s="1339"/>
      <c r="N64" s="847"/>
    </row>
    <row r="65" spans="2:14" x14ac:dyDescent="0.2">
      <c r="B65" s="846"/>
      <c r="C65" s="682"/>
      <c r="D65" s="49" t="s">
        <v>92</v>
      </c>
      <c r="E65" s="682"/>
      <c r="F65" s="1448">
        <v>0</v>
      </c>
      <c r="G65" s="1594"/>
      <c r="H65" s="986">
        <f>pers!I244+mat!K220</f>
        <v>16385847.170006573</v>
      </c>
      <c r="I65" s="986">
        <f>pers!J244+mat!L220</f>
        <v>19558326.481310885</v>
      </c>
      <c r="J65" s="986">
        <f>pers!K244+mat!M220</f>
        <v>20017305.796191361</v>
      </c>
      <c r="K65" s="986">
        <f>pers!L244+mat!N220</f>
        <v>20113192.061947525</v>
      </c>
      <c r="L65" s="986">
        <f>pers!M244+mat!O220</f>
        <v>20113192.061947525</v>
      </c>
      <c r="M65" s="1277"/>
      <c r="N65" s="847"/>
    </row>
    <row r="66" spans="2:14" s="11" customFormat="1" x14ac:dyDescent="0.2">
      <c r="B66" s="1408"/>
      <c r="C66" s="1409"/>
      <c r="D66" s="420" t="s">
        <v>829</v>
      </c>
      <c r="E66" s="1409"/>
      <c r="F66" s="1449">
        <v>0</v>
      </c>
      <c r="G66" s="1595"/>
      <c r="H66" s="1410">
        <f>pers!I251+5/12*mat!K28+7/12*mat!L28</f>
        <v>5999525.3151811408</v>
      </c>
      <c r="I66" s="1410">
        <f>pers!J251+5/12*mat!L28+7/12*mat!M28</f>
        <v>9771263.7813108899</v>
      </c>
      <c r="J66" s="1410">
        <f>pers!K251+5/12*mat!M28+7/12*mat!N28</f>
        <v>9814957.236191364</v>
      </c>
      <c r="K66" s="1410">
        <f>pers!L251+5/12*mat!N28+7/12*mat!O28</f>
        <v>9910843.5019475259</v>
      </c>
      <c r="L66" s="1410">
        <f>pers!M251+5/12*mat!O28+7/12*mat!O28</f>
        <v>9910843.5019475259</v>
      </c>
      <c r="M66" s="1411"/>
      <c r="N66" s="1412"/>
    </row>
    <row r="67" spans="2:14" x14ac:dyDescent="0.2">
      <c r="B67" s="846"/>
      <c r="C67" s="682"/>
      <c r="D67" s="420" t="s">
        <v>830</v>
      </c>
      <c r="E67" s="1409"/>
      <c r="F67" s="1449">
        <v>0</v>
      </c>
      <c r="G67" s="1595"/>
      <c r="H67" s="1410">
        <f>pers!I258+5/12*mat!K43+7/12*mat!L43</f>
        <v>10386321.854825433</v>
      </c>
      <c r="I67" s="1410">
        <f>pers!J258+5/12*mat!L43+7/12*mat!M43</f>
        <v>9787062.6999999993</v>
      </c>
      <c r="J67" s="1410">
        <f>pers!K258+5/12*mat!M43+7/12*mat!N43</f>
        <v>10202348.560000001</v>
      </c>
      <c r="K67" s="1410">
        <f>pers!L258+5/12*mat!N43+7/12*mat!O43</f>
        <v>10202348.560000001</v>
      </c>
      <c r="L67" s="1410">
        <f>pers!M258+5/12*mat!O43+7/12*mat!O43</f>
        <v>10202348.560000001</v>
      </c>
      <c r="M67" s="1277"/>
      <c r="N67" s="847"/>
    </row>
    <row r="68" spans="2:14" x14ac:dyDescent="0.2">
      <c r="B68" s="846"/>
      <c r="C68" s="682"/>
      <c r="D68" s="49" t="s">
        <v>168</v>
      </c>
      <c r="E68" s="1409"/>
      <c r="F68" s="1449">
        <v>0</v>
      </c>
      <c r="G68" s="1594"/>
      <c r="H68" s="986">
        <f>pers!I245+5/12*mat!K66+7/12*mat!L66</f>
        <v>0</v>
      </c>
      <c r="I68" s="986">
        <f>pers!J245+5/12*mat!L66+7/12*mat!M66</f>
        <v>0</v>
      </c>
      <c r="J68" s="986">
        <f>pers!K245+5/12*mat!M66+7/12*mat!N66</f>
        <v>0</v>
      </c>
      <c r="K68" s="986">
        <f>pers!L245+5/12*mat!N66+7/12*mat!O66</f>
        <v>0</v>
      </c>
      <c r="L68" s="986">
        <f>pers!M245+5/12*mat!O66+7/12*mat!O66</f>
        <v>0</v>
      </c>
      <c r="M68" s="1277"/>
      <c r="N68" s="769"/>
    </row>
    <row r="69" spans="2:14" x14ac:dyDescent="0.2">
      <c r="B69" s="846"/>
      <c r="C69" s="682"/>
      <c r="D69" s="420" t="s">
        <v>831</v>
      </c>
      <c r="E69" s="1409"/>
      <c r="F69" s="1449">
        <v>0</v>
      </c>
      <c r="G69" s="1595"/>
      <c r="H69" s="1410">
        <f>pers!I252+5/12*mat!K56+7/12*mat!L56</f>
        <v>0</v>
      </c>
      <c r="I69" s="1410">
        <f>pers!J252+5/12*mat!L56+7/12*mat!M56</f>
        <v>0</v>
      </c>
      <c r="J69" s="1410">
        <f>pers!K252+5/12*mat!M56+7/12*mat!N56</f>
        <v>0</v>
      </c>
      <c r="K69" s="1410">
        <f>pers!L252+5/12*mat!N56+7/12*mat!O56</f>
        <v>0</v>
      </c>
      <c r="L69" s="1410">
        <f>pers!M252+5/12*mat!O56+7/12*mat!O56</f>
        <v>0</v>
      </c>
      <c r="M69" s="1277"/>
      <c r="N69" s="769"/>
    </row>
    <row r="70" spans="2:14" x14ac:dyDescent="0.2">
      <c r="B70" s="846"/>
      <c r="C70" s="682"/>
      <c r="D70" s="420" t="s">
        <v>832</v>
      </c>
      <c r="E70" s="1409"/>
      <c r="F70" s="1449">
        <v>0</v>
      </c>
      <c r="G70" s="1595"/>
      <c r="H70" s="1410">
        <f>pers!I259+5/12*mat!K63+7/12*mat!L63</f>
        <v>0</v>
      </c>
      <c r="I70" s="1410">
        <f>pers!J259+5/12*mat!L63+7/12*mat!M63</f>
        <v>0</v>
      </c>
      <c r="J70" s="1410">
        <f>pers!K259+5/12*mat!M63+7/12*mat!N63</f>
        <v>0</v>
      </c>
      <c r="K70" s="1410">
        <f>pers!L259+5/12*mat!N63+7/12*mat!O63</f>
        <v>0</v>
      </c>
      <c r="L70" s="1410">
        <f>pers!M259+5/12*mat!O63+7/12*mat!O63</f>
        <v>0</v>
      </c>
      <c r="M70" s="1277"/>
      <c r="N70" s="769"/>
    </row>
    <row r="71" spans="2:14" x14ac:dyDescent="0.2">
      <c r="B71" s="846"/>
      <c r="C71" s="682"/>
      <c r="D71" s="49" t="s">
        <v>180</v>
      </c>
      <c r="E71" s="682"/>
      <c r="F71" s="1449">
        <v>0</v>
      </c>
      <c r="G71" s="1594"/>
      <c r="H71" s="986">
        <f t="shared" ref="H71:L71" si="5">5/12*G20+7/12*H20</f>
        <v>0</v>
      </c>
      <c r="I71" s="986">
        <f t="shared" si="5"/>
        <v>0</v>
      </c>
      <c r="J71" s="986">
        <f t="shared" si="5"/>
        <v>0</v>
      </c>
      <c r="K71" s="986">
        <f t="shared" si="5"/>
        <v>0</v>
      </c>
      <c r="L71" s="986">
        <f t="shared" si="5"/>
        <v>0</v>
      </c>
      <c r="M71" s="1354"/>
      <c r="N71" s="847"/>
    </row>
    <row r="72" spans="2:14" x14ac:dyDescent="0.2">
      <c r="B72" s="846"/>
      <c r="C72" s="682"/>
      <c r="D72" s="682" t="s">
        <v>181</v>
      </c>
      <c r="E72" s="682"/>
      <c r="F72" s="1459">
        <v>0</v>
      </c>
      <c r="G72" s="1594"/>
      <c r="H72" s="986">
        <f>pers!I246+5/12*(mat!K73+mat!K83)+7/12*(mat!L73+mat!L83)</f>
        <v>0</v>
      </c>
      <c r="I72" s="986">
        <f>pers!J246+5/12*(mat!L73+mat!L83)+7/12*(mat!M73+mat!M83)</f>
        <v>0</v>
      </c>
      <c r="J72" s="986">
        <f>pers!K246+5/12*(mat!M73+mat!M83)+7/12*(mat!N73+mat!N83)</f>
        <v>0</v>
      </c>
      <c r="K72" s="986">
        <f>pers!L246+5/12*(mat!N73+mat!N83)+7/12*(mat!O73+mat!O83)</f>
        <v>0</v>
      </c>
      <c r="L72" s="986">
        <f>pers!M246+(mat!O73+mat!O83)</f>
        <v>0</v>
      </c>
      <c r="M72" s="1277"/>
      <c r="N72" s="847"/>
    </row>
    <row r="73" spans="2:14" x14ac:dyDescent="0.2">
      <c r="B73" s="846"/>
      <c r="C73" s="682"/>
      <c r="D73" s="682" t="s">
        <v>94</v>
      </c>
      <c r="E73" s="682"/>
      <c r="F73" s="1459">
        <f>5/12*pers!H100+7/12*pers!I100+mat!J224-F72</f>
        <v>0</v>
      </c>
      <c r="G73" s="1594"/>
      <c r="H73" s="986">
        <f>pers!I247+5/12*mat!K92+7/12*mat!L92-H71-H72</f>
        <v>0</v>
      </c>
      <c r="I73" s="986">
        <f>pers!J247+5/12*mat!L92+7/12*mat!M92-I71-I72</f>
        <v>0</v>
      </c>
      <c r="J73" s="986">
        <f>pers!K247+5/12*mat!M92+7/12*mat!N92-J71-J72</f>
        <v>0</v>
      </c>
      <c r="K73" s="986">
        <f>pers!L247+5/12*mat!N92+7/12*mat!O92-K71-K72</f>
        <v>0</v>
      </c>
      <c r="L73" s="986">
        <f>pers!M247+5/12*mat!O92+7/12*mat!O92-L71-L72</f>
        <v>0</v>
      </c>
      <c r="M73" s="1277"/>
      <c r="N73" s="847"/>
    </row>
    <row r="74" spans="2:14" x14ac:dyDescent="0.2">
      <c r="B74" s="846"/>
      <c r="C74" s="682"/>
      <c r="D74" s="682"/>
      <c r="E74" s="682"/>
      <c r="F74" s="1340">
        <f>SUM(F71:F73)</f>
        <v>0</v>
      </c>
      <c r="G74" s="1354"/>
      <c r="H74" s="1340">
        <f t="shared" ref="H74:L74" si="6">H65+H68+H72+H73</f>
        <v>16385847.170006573</v>
      </c>
      <c r="I74" s="1340">
        <f t="shared" si="6"/>
        <v>19558326.481310885</v>
      </c>
      <c r="J74" s="1340">
        <f t="shared" si="6"/>
        <v>20017305.796191361</v>
      </c>
      <c r="K74" s="1340">
        <f t="shared" si="6"/>
        <v>20113192.061947525</v>
      </c>
      <c r="L74" s="1340">
        <f t="shared" si="6"/>
        <v>20113192.061947525</v>
      </c>
      <c r="M74" s="1354"/>
      <c r="N74" s="847"/>
    </row>
    <row r="75" spans="2:14" x14ac:dyDescent="0.2">
      <c r="B75" s="846"/>
      <c r="C75" s="682"/>
      <c r="D75" s="682"/>
      <c r="E75" s="682"/>
      <c r="F75" s="1277"/>
      <c r="G75" s="1277"/>
      <c r="H75" s="1277"/>
      <c r="I75" s="1277"/>
      <c r="J75" s="1277"/>
      <c r="K75" s="1277"/>
      <c r="L75" s="1277"/>
      <c r="M75" s="1277"/>
      <c r="N75" s="847"/>
    </row>
    <row r="76" spans="2:14" x14ac:dyDescent="0.2">
      <c r="B76" s="846"/>
      <c r="C76" s="682"/>
      <c r="D76" s="1261" t="s">
        <v>182</v>
      </c>
      <c r="E76" s="682"/>
      <c r="F76" s="1277"/>
      <c r="G76" s="1277"/>
      <c r="H76" s="1277"/>
      <c r="I76" s="1277"/>
      <c r="J76" s="1277"/>
      <c r="K76" s="1277"/>
      <c r="L76" s="1277"/>
      <c r="M76" s="1277"/>
      <c r="N76" s="847"/>
    </row>
    <row r="77" spans="2:14" x14ac:dyDescent="0.2">
      <c r="B77" s="846"/>
      <c r="C77" s="682"/>
      <c r="D77" s="187" t="s">
        <v>833</v>
      </c>
      <c r="E77" s="682"/>
      <c r="F77" s="1448">
        <v>0</v>
      </c>
      <c r="G77" s="1594"/>
      <c r="H77" s="986">
        <f>pers!I272+5/12*mat!K155+7/12*mat!L155</f>
        <v>6497147.5768750003</v>
      </c>
      <c r="I77" s="986">
        <f>pers!J272+5/12*mat!L155+7/12*mat!M155</f>
        <v>6622582.0970833339</v>
      </c>
      <c r="J77" s="986">
        <f>pers!K272+5/12*mat!M155+7/12*mat!N155</f>
        <v>6651713.2103472222</v>
      </c>
      <c r="K77" s="986">
        <f>pers!L272+5/12*mat!N155+7/12*mat!O155</f>
        <v>6616187.2599999998</v>
      </c>
      <c r="L77" s="986">
        <f>pers!M272+5/12*mat!O155+7/12*mat!O155</f>
        <v>6616187.2599999998</v>
      </c>
      <c r="M77" s="1277"/>
      <c r="N77" s="769"/>
    </row>
    <row r="78" spans="2:14" x14ac:dyDescent="0.2">
      <c r="B78" s="846"/>
      <c r="C78" s="682"/>
      <c r="D78" s="187" t="s">
        <v>834</v>
      </c>
      <c r="E78" s="682"/>
      <c r="F78" s="1448">
        <v>0</v>
      </c>
      <c r="G78" s="1594"/>
      <c r="H78" s="986">
        <f>pers!I273+5/12*mat!J156+7/12*mat!K156</f>
        <v>180029.09083333332</v>
      </c>
      <c r="I78" s="986">
        <f>pers!J273+5/12*mat!K156+7/12*mat!L156</f>
        <v>168671.85666666666</v>
      </c>
      <c r="J78" s="986">
        <f>pers!K273+5/12*mat!L156+7/12*mat!M156</f>
        <v>168750.49</v>
      </c>
      <c r="K78" s="986">
        <f>pers!L273+5/12*mat!M156+7/12*mat!N156</f>
        <v>168750.49</v>
      </c>
      <c r="L78" s="986">
        <f>pers!M273+5/12*mat!N156+7/12*mat!O156</f>
        <v>168750.49</v>
      </c>
      <c r="M78" s="1277"/>
      <c r="N78" s="769"/>
    </row>
    <row r="79" spans="2:14" x14ac:dyDescent="0.2">
      <c r="B79" s="846"/>
      <c r="C79" s="682"/>
      <c r="D79" s="187" t="s">
        <v>835</v>
      </c>
      <c r="E79" s="682"/>
      <c r="F79" s="1448">
        <v>0</v>
      </c>
      <c r="G79" s="1594"/>
      <c r="H79" s="986">
        <f>pers!I274+5/12*mat!K139+7/12*mat!L139</f>
        <v>54143.600000000006</v>
      </c>
      <c r="I79" s="986">
        <f>pers!J274+5/12*mat!L139+7/12*mat!M139</f>
        <v>0</v>
      </c>
      <c r="J79" s="986">
        <f>pers!K274+5/12*mat!M139+7/12*mat!N139</f>
        <v>0</v>
      </c>
      <c r="K79" s="986">
        <f>pers!L274+5/12*mat!N139+7/12*mat!O139</f>
        <v>0</v>
      </c>
      <c r="L79" s="986">
        <f>pers!M274+5/12*mat!O139+7/12*mat!O139</f>
        <v>0</v>
      </c>
      <c r="M79" s="1277"/>
      <c r="N79" s="769"/>
    </row>
    <row r="80" spans="2:14" x14ac:dyDescent="0.2">
      <c r="B80" s="846"/>
      <c r="C80" s="682"/>
      <c r="D80" s="187" t="s">
        <v>836</v>
      </c>
      <c r="E80" s="682"/>
      <c r="F80" s="1448">
        <v>0</v>
      </c>
      <c r="G80" s="1594"/>
      <c r="H80" s="986">
        <f>pers!I275+5/12*mat!K140+7/12*mat!L140</f>
        <v>2111151.4600000004</v>
      </c>
      <c r="I80" s="986">
        <f>pers!J275+5/12*mat!L140+7/12*mat!M140</f>
        <v>2256494.7200000002</v>
      </c>
      <c r="J80" s="986">
        <f>pers!K275+5/12*mat!M140+7/12*mat!N140</f>
        <v>2282403.1199999996</v>
      </c>
      <c r="K80" s="986">
        <f>pers!L275+5/12*mat!N140+7/12*mat!O140</f>
        <v>2280033.0599999996</v>
      </c>
      <c r="L80" s="986">
        <f>pers!M275+5/12*mat!O140+7/12*mat!O140</f>
        <v>2278340.1599999997</v>
      </c>
      <c r="M80" s="1277"/>
      <c r="N80" s="769"/>
    </row>
    <row r="81" spans="2:14" x14ac:dyDescent="0.2">
      <c r="B81" s="846"/>
      <c r="C81" s="682"/>
      <c r="D81" s="187" t="s">
        <v>837</v>
      </c>
      <c r="E81" s="682"/>
      <c r="F81" s="1448">
        <v>0</v>
      </c>
      <c r="G81" s="1594"/>
      <c r="H81" s="986">
        <f>pers!I276+5/12*(mat!K143+mat!K159)+7/12*(mat!L143+mat!L159)</f>
        <v>0</v>
      </c>
      <c r="I81" s="986">
        <f>pers!J276+5/12*(mat!L143+mat!L159)+7/12*(mat!M143+mat!M159)</f>
        <v>0</v>
      </c>
      <c r="J81" s="986">
        <f>pers!K276+5/12*(mat!M143+mat!M159)+7/12*(mat!N143+mat!N159)</f>
        <v>0</v>
      </c>
      <c r="K81" s="986">
        <f>pers!L276+5/12*(mat!N143+mat!N159)+7/12*(mat!O143+mat!O159)</f>
        <v>0</v>
      </c>
      <c r="L81" s="986">
        <f>pers!M276+5/12*(mat!O143+mat!O159)+7/12*(mat!O143+mat!O159)</f>
        <v>0</v>
      </c>
      <c r="M81" s="1277"/>
      <c r="N81" s="769"/>
    </row>
    <row r="82" spans="2:14" x14ac:dyDescent="0.2">
      <c r="B82" s="846"/>
      <c r="C82" s="682"/>
      <c r="D82" s="109" t="s">
        <v>838</v>
      </c>
      <c r="E82" s="682"/>
      <c r="F82" s="1459">
        <v>0</v>
      </c>
      <c r="G82" s="1594"/>
      <c r="H82" s="986">
        <f>'programma''s'!J214+5/12*'programma''s'!I217+7/12*'programma''s'!J217</f>
        <v>13579</v>
      </c>
      <c r="I82" s="986">
        <f>'programma''s'!K214+5/12*'programma''s'!J217+7/12*'programma''s'!K217</f>
        <v>13579</v>
      </c>
      <c r="J82" s="986">
        <f>'programma''s'!L214+5/12*'programma''s'!K217+7/12*'programma''s'!L217</f>
        <v>13579</v>
      </c>
      <c r="K82" s="986">
        <f>'programma''s'!M214+5/12*'programma''s'!L217+7/12*'programma''s'!M217</f>
        <v>13579</v>
      </c>
      <c r="L82" s="986">
        <f>'programma''s'!N214+5/12*'programma''s'!M217+7/12*'programma''s'!N217</f>
        <v>13579</v>
      </c>
      <c r="M82" s="1277"/>
      <c r="N82" s="769"/>
    </row>
    <row r="83" spans="2:14" x14ac:dyDescent="0.2">
      <c r="B83" s="846"/>
      <c r="C83" s="682"/>
      <c r="D83" s="682" t="s">
        <v>853</v>
      </c>
      <c r="E83" s="682"/>
      <c r="F83" s="1448">
        <v>0</v>
      </c>
      <c r="G83" s="1594"/>
      <c r="H83" s="986">
        <f>pers!I277</f>
        <v>86756.26</v>
      </c>
      <c r="I83" s="986">
        <f>pers!J277</f>
        <v>92659.08</v>
      </c>
      <c r="J83" s="986">
        <f>pers!K277</f>
        <v>98166.12</v>
      </c>
      <c r="K83" s="986">
        <f>pers!L277</f>
        <v>104190.6</v>
      </c>
      <c r="L83" s="986">
        <f>pers!M277</f>
        <v>110677.08</v>
      </c>
      <c r="M83" s="1277"/>
      <c r="N83" s="847"/>
    </row>
    <row r="84" spans="2:14" x14ac:dyDescent="0.2">
      <c r="B84" s="846"/>
      <c r="C84" s="682"/>
      <c r="D84" s="682" t="s">
        <v>95</v>
      </c>
      <c r="E84" s="682"/>
      <c r="F84" s="1448">
        <v>0</v>
      </c>
      <c r="G84" s="1594"/>
      <c r="H84" s="986">
        <f>5/12*act!G34+7/12*act!H34</f>
        <v>13875</v>
      </c>
      <c r="I84" s="986">
        <f>5/12*act!H34+7/12*act!I34</f>
        <v>13875</v>
      </c>
      <c r="J84" s="986">
        <f>5/12*act!I34+7/12*act!J34</f>
        <v>13875</v>
      </c>
      <c r="K84" s="986">
        <f>5/12*act!J34+7/12*act!K34</f>
        <v>13875</v>
      </c>
      <c r="L84" s="986">
        <f>5/12*act!K34+7/12*act!L34</f>
        <v>5781.25</v>
      </c>
      <c r="M84" s="1277"/>
      <c r="N84" s="847"/>
    </row>
    <row r="85" spans="2:14" x14ac:dyDescent="0.2">
      <c r="B85" s="846"/>
      <c r="C85" s="682"/>
      <c r="D85" s="682" t="s">
        <v>96</v>
      </c>
      <c r="E85" s="682"/>
      <c r="F85" s="1448">
        <v>0</v>
      </c>
      <c r="G85" s="1594"/>
      <c r="H85" s="986">
        <f>5/12*mat!K132+7/12*mat!L132</f>
        <v>0</v>
      </c>
      <c r="I85" s="986">
        <f>5/12*mat!L132+7/12*mat!M132</f>
        <v>0</v>
      </c>
      <c r="J85" s="986">
        <f>5/12*mat!M132+7/12*mat!N132</f>
        <v>0</v>
      </c>
      <c r="K85" s="986">
        <f>5/12*mat!N132+7/12*mat!O132</f>
        <v>0</v>
      </c>
      <c r="L85" s="986">
        <f>5/12*mat!O132+7/12*mat!O132</f>
        <v>0</v>
      </c>
      <c r="M85" s="1277"/>
      <c r="N85" s="847"/>
    </row>
    <row r="86" spans="2:14" x14ac:dyDescent="0.2">
      <c r="B86" s="846"/>
      <c r="C86" s="682"/>
      <c r="D86" s="682" t="s">
        <v>176</v>
      </c>
      <c r="E86" s="682"/>
      <c r="F86" s="1448">
        <v>0</v>
      </c>
      <c r="G86" s="1594"/>
      <c r="H86" s="986">
        <f t="shared" ref="H86:L86" si="7">5/12*G34+7/12*H34</f>
        <v>0</v>
      </c>
      <c r="I86" s="986">
        <f t="shared" si="7"/>
        <v>0</v>
      </c>
      <c r="J86" s="986">
        <f t="shared" si="7"/>
        <v>0</v>
      </c>
      <c r="K86" s="986">
        <f t="shared" si="7"/>
        <v>0</v>
      </c>
      <c r="L86" s="986">
        <f t="shared" si="7"/>
        <v>0</v>
      </c>
      <c r="M86" s="1277"/>
      <c r="N86" s="847"/>
    </row>
    <row r="87" spans="2:14" x14ac:dyDescent="0.2">
      <c r="B87" s="846"/>
      <c r="C87" s="682"/>
      <c r="D87" s="682"/>
      <c r="E87" s="682"/>
      <c r="F87" s="1338">
        <f>SUM(F83:F86)</f>
        <v>0</v>
      </c>
      <c r="G87" s="1596"/>
      <c r="H87" s="1338">
        <f t="shared" ref="H87:L87" si="8">SUM(H77:H86)</f>
        <v>8956681.9877083339</v>
      </c>
      <c r="I87" s="1338">
        <f t="shared" si="8"/>
        <v>9167861.7537500001</v>
      </c>
      <c r="J87" s="1338">
        <f t="shared" si="8"/>
        <v>9228486.9403472207</v>
      </c>
      <c r="K87" s="1338">
        <f t="shared" si="8"/>
        <v>9196615.4099999983</v>
      </c>
      <c r="L87" s="1338">
        <f t="shared" si="8"/>
        <v>9193315.2400000002</v>
      </c>
      <c r="M87" s="1354"/>
      <c r="N87" s="847"/>
    </row>
    <row r="88" spans="2:14" x14ac:dyDescent="0.2">
      <c r="B88" s="846"/>
      <c r="C88" s="682"/>
      <c r="D88" s="682"/>
      <c r="E88" s="682"/>
      <c r="F88" s="1277"/>
      <c r="G88" s="1277"/>
      <c r="H88" s="1277"/>
      <c r="I88" s="1277"/>
      <c r="J88" s="1277"/>
      <c r="K88" s="1277"/>
      <c r="L88" s="1277"/>
      <c r="M88" s="682"/>
      <c r="N88" s="847"/>
    </row>
    <row r="89" spans="2:14" x14ac:dyDescent="0.2">
      <c r="B89" s="950"/>
      <c r="C89" s="486"/>
      <c r="D89" s="432" t="s">
        <v>184</v>
      </c>
      <c r="E89" s="37"/>
      <c r="F89" s="539">
        <f t="shared" ref="F89:L89" si="9">F74-F87</f>
        <v>0</v>
      </c>
      <c r="G89" s="1592"/>
      <c r="H89" s="539">
        <f t="shared" si="9"/>
        <v>7429165.1822982393</v>
      </c>
      <c r="I89" s="539">
        <f t="shared" si="9"/>
        <v>10390464.727560885</v>
      </c>
      <c r="J89" s="539">
        <f t="shared" si="9"/>
        <v>10788818.85584414</v>
      </c>
      <c r="K89" s="539">
        <f t="shared" si="9"/>
        <v>10916576.651947526</v>
      </c>
      <c r="L89" s="539">
        <f t="shared" si="9"/>
        <v>10919876.821947524</v>
      </c>
      <c r="M89" s="187"/>
      <c r="N89" s="77"/>
    </row>
    <row r="90" spans="2:14" x14ac:dyDescent="0.2">
      <c r="B90" s="883"/>
      <c r="C90" s="493"/>
      <c r="D90" s="420"/>
      <c r="E90" s="37"/>
      <c r="F90" s="449"/>
      <c r="G90" s="1589"/>
      <c r="H90" s="449"/>
      <c r="I90" s="449"/>
      <c r="J90" s="449"/>
      <c r="K90" s="449"/>
      <c r="L90" s="449"/>
      <c r="M90" s="187"/>
      <c r="N90" s="77"/>
    </row>
    <row r="91" spans="2:14" x14ac:dyDescent="0.2">
      <c r="B91" s="883"/>
      <c r="C91" s="76"/>
      <c r="D91" s="63"/>
      <c r="E91" s="55"/>
      <c r="F91" s="441"/>
      <c r="G91" s="441"/>
      <c r="H91" s="441"/>
      <c r="I91" s="441"/>
      <c r="J91" s="441"/>
      <c r="K91" s="441"/>
      <c r="L91" s="441"/>
      <c r="M91" s="76"/>
      <c r="N91" s="77"/>
    </row>
    <row r="92" spans="2:14" x14ac:dyDescent="0.2">
      <c r="B92" s="883"/>
      <c r="C92" s="493"/>
      <c r="D92" s="420"/>
      <c r="E92" s="37"/>
      <c r="F92" s="445"/>
      <c r="G92" s="445"/>
      <c r="H92" s="445"/>
      <c r="I92" s="445"/>
      <c r="J92" s="445"/>
      <c r="K92" s="445"/>
      <c r="L92" s="445"/>
      <c r="M92" s="187"/>
      <c r="N92" s="77"/>
    </row>
    <row r="93" spans="2:14" x14ac:dyDescent="0.2">
      <c r="B93" s="883"/>
      <c r="C93" s="493"/>
      <c r="D93" s="578" t="s">
        <v>162</v>
      </c>
      <c r="E93" s="37"/>
      <c r="F93" s="445"/>
      <c r="G93" s="1588"/>
      <c r="H93" s="445"/>
      <c r="I93" s="445"/>
      <c r="J93" s="445"/>
      <c r="K93" s="445"/>
      <c r="L93" s="445"/>
      <c r="M93" s="187"/>
      <c r="N93" s="77"/>
    </row>
    <row r="94" spans="2:14" x14ac:dyDescent="0.2">
      <c r="B94" s="883"/>
      <c r="C94" s="493"/>
      <c r="D94" s="420"/>
      <c r="E94" s="37"/>
      <c r="F94" s="445"/>
      <c r="G94" s="1588"/>
      <c r="H94" s="445"/>
      <c r="I94" s="445"/>
      <c r="J94" s="445"/>
      <c r="K94" s="445"/>
      <c r="L94" s="445"/>
      <c r="M94" s="187"/>
      <c r="N94" s="77"/>
    </row>
    <row r="95" spans="2:14" x14ac:dyDescent="0.2">
      <c r="B95" s="883"/>
      <c r="C95" s="493"/>
      <c r="D95" s="49" t="s">
        <v>98</v>
      </c>
      <c r="E95" s="37"/>
      <c r="F95" s="1507">
        <v>0</v>
      </c>
      <c r="G95" s="1588"/>
      <c r="H95" s="811">
        <f t="shared" ref="H95:L96" si="10">5/12*G43+7/12*H43</f>
        <v>0</v>
      </c>
      <c r="I95" s="811">
        <f t="shared" si="10"/>
        <v>0</v>
      </c>
      <c r="J95" s="811">
        <f t="shared" si="10"/>
        <v>0</v>
      </c>
      <c r="K95" s="811">
        <f t="shared" si="10"/>
        <v>0</v>
      </c>
      <c r="L95" s="811">
        <f t="shared" si="10"/>
        <v>0</v>
      </c>
      <c r="M95" s="187"/>
      <c r="N95" s="77"/>
    </row>
    <row r="96" spans="2:14" x14ac:dyDescent="0.2">
      <c r="B96" s="883"/>
      <c r="C96" s="493"/>
      <c r="D96" s="49" t="s">
        <v>99</v>
      </c>
      <c r="E96" s="37"/>
      <c r="F96" s="1507">
        <v>0</v>
      </c>
      <c r="G96" s="1588"/>
      <c r="H96" s="811">
        <f t="shared" si="10"/>
        <v>0</v>
      </c>
      <c r="I96" s="811">
        <f t="shared" si="10"/>
        <v>0</v>
      </c>
      <c r="J96" s="811">
        <f t="shared" si="10"/>
        <v>0</v>
      </c>
      <c r="K96" s="811">
        <f t="shared" si="10"/>
        <v>0</v>
      </c>
      <c r="L96" s="811">
        <f t="shared" si="10"/>
        <v>0</v>
      </c>
      <c r="M96" s="187"/>
      <c r="N96" s="77"/>
    </row>
    <row r="97" spans="2:14" x14ac:dyDescent="0.2">
      <c r="B97" s="883"/>
      <c r="C97" s="493"/>
      <c r="D97" s="49"/>
      <c r="E97" s="37"/>
      <c r="F97" s="445"/>
      <c r="G97" s="1588"/>
      <c r="H97" s="445"/>
      <c r="I97" s="445"/>
      <c r="J97" s="445"/>
      <c r="K97" s="445"/>
      <c r="L97" s="445"/>
      <c r="M97" s="187"/>
      <c r="N97" s="77"/>
    </row>
    <row r="98" spans="2:14" x14ac:dyDescent="0.2">
      <c r="B98" s="950"/>
      <c r="C98" s="486"/>
      <c r="D98" s="432" t="s">
        <v>185</v>
      </c>
      <c r="E98" s="195"/>
      <c r="F98" s="539">
        <f t="shared" ref="F98:K98" si="11">F95-F96</f>
        <v>0</v>
      </c>
      <c r="G98" s="1592"/>
      <c r="H98" s="539">
        <f t="shared" si="11"/>
        <v>0</v>
      </c>
      <c r="I98" s="539">
        <f t="shared" si="11"/>
        <v>0</v>
      </c>
      <c r="J98" s="539">
        <f t="shared" si="11"/>
        <v>0</v>
      </c>
      <c r="K98" s="539">
        <f t="shared" si="11"/>
        <v>0</v>
      </c>
      <c r="L98" s="539">
        <f>L95-L96</f>
        <v>0</v>
      </c>
      <c r="M98" s="195"/>
      <c r="N98" s="90"/>
    </row>
    <row r="99" spans="2:14" x14ac:dyDescent="0.2">
      <c r="B99" s="883"/>
      <c r="C99" s="493"/>
      <c r="D99" s="49"/>
      <c r="E99" s="37"/>
      <c r="F99" s="445"/>
      <c r="G99" s="1588"/>
      <c r="H99" s="445"/>
      <c r="I99" s="445"/>
      <c r="J99" s="445"/>
      <c r="K99" s="445"/>
      <c r="L99" s="445"/>
      <c r="M99" s="187"/>
      <c r="N99" s="77"/>
    </row>
    <row r="100" spans="2:14" x14ac:dyDescent="0.2">
      <c r="B100" s="883"/>
      <c r="C100" s="76"/>
      <c r="D100" s="63"/>
      <c r="E100" s="55"/>
      <c r="F100" s="441"/>
      <c r="G100" s="441"/>
      <c r="H100" s="441"/>
      <c r="I100" s="441"/>
      <c r="J100" s="441"/>
      <c r="K100" s="441"/>
      <c r="L100" s="441"/>
      <c r="M100" s="76"/>
      <c r="N100" s="77"/>
    </row>
    <row r="101" spans="2:14" x14ac:dyDescent="0.2">
      <c r="B101" s="883"/>
      <c r="C101" s="493"/>
      <c r="D101" s="49"/>
      <c r="E101" s="37"/>
      <c r="F101" s="445"/>
      <c r="G101" s="1425"/>
      <c r="H101" s="1425"/>
      <c r="I101" s="1425"/>
      <c r="J101" s="1425"/>
      <c r="K101" s="445"/>
      <c r="L101" s="445"/>
      <c r="M101" s="187"/>
      <c r="N101" s="77"/>
    </row>
    <row r="102" spans="2:14" x14ac:dyDescent="0.2">
      <c r="B102" s="950"/>
      <c r="C102" s="486"/>
      <c r="D102" s="578" t="s">
        <v>186</v>
      </c>
      <c r="E102" s="195"/>
      <c r="F102" s="539">
        <f t="shared" ref="F102:L102" si="12">F89+F98</f>
        <v>0</v>
      </c>
      <c r="G102" s="1592"/>
      <c r="H102" s="539">
        <f t="shared" si="12"/>
        <v>7429165.1822982393</v>
      </c>
      <c r="I102" s="539">
        <f t="shared" si="12"/>
        <v>10390464.727560885</v>
      </c>
      <c r="J102" s="539">
        <f t="shared" si="12"/>
        <v>10788818.85584414</v>
      </c>
      <c r="K102" s="539">
        <f t="shared" si="12"/>
        <v>10916576.651947526</v>
      </c>
      <c r="L102" s="539">
        <f t="shared" si="12"/>
        <v>10919876.821947524</v>
      </c>
      <c r="M102" s="195"/>
      <c r="N102" s="90"/>
    </row>
    <row r="103" spans="2:14" x14ac:dyDescent="0.2">
      <c r="B103" s="75"/>
      <c r="C103" s="80"/>
      <c r="D103" s="1426"/>
      <c r="E103" s="1427"/>
      <c r="F103" s="1428"/>
      <c r="G103" s="1428"/>
      <c r="H103" s="1428"/>
      <c r="I103" s="1428"/>
      <c r="J103" s="1428"/>
      <c r="K103" s="1428"/>
      <c r="L103" s="1428"/>
      <c r="M103" s="81"/>
      <c r="N103" s="77"/>
    </row>
    <row r="104" spans="2:14" x14ac:dyDescent="0.2">
      <c r="B104" s="75"/>
      <c r="C104" s="76"/>
      <c r="D104" s="411"/>
      <c r="E104" s="76"/>
      <c r="F104" s="442"/>
      <c r="G104" s="442"/>
      <c r="H104" s="442"/>
      <c r="I104" s="442"/>
      <c r="J104" s="442"/>
      <c r="K104" s="442"/>
      <c r="L104" s="442"/>
      <c r="M104" s="76"/>
      <c r="N104" s="77"/>
    </row>
    <row r="105" spans="2:14" x14ac:dyDescent="0.2">
      <c r="B105" s="1214"/>
      <c r="C105" s="1414"/>
      <c r="D105" s="1415"/>
      <c r="E105" s="1414"/>
      <c r="F105" s="1429"/>
      <c r="G105" s="1429"/>
      <c r="H105" s="1429"/>
      <c r="I105" s="1429"/>
      <c r="J105" s="1429"/>
      <c r="K105" s="1429"/>
      <c r="L105" s="1429"/>
      <c r="M105" s="1414"/>
      <c r="N105" s="1209"/>
    </row>
  </sheetData>
  <sheetProtection algorithmName="SHA-512" hashValue="4k/0m8yvEEyCpSZ7qmyPVdZBFRI0eStt3gbOJ1hdYHivd/ZI/fa+mTe+bX7X6Nu7AhMQyKdQYCthVurHzK91Xw==" saltValue="mk9zsyxRBnhK6EHdjy0PZA==" spinCount="100000" sheet="1" objects="1" scenarios="1"/>
  <phoneticPr fontId="0" type="noConversion"/>
  <pageMargins left="0.74803149606299213" right="0.74803149606299213" top="0.98425196850393704" bottom="0.98425196850393704" header="0.51181102362204722" footer="0.51181102362204722"/>
  <pageSetup paperSize="9" scale="48" orientation="portrait" r:id="rId1"/>
  <headerFooter alignWithMargins="0">
    <oddHeader>&amp;L&amp;"Arial,Vet"&amp;9&amp;F&amp;R&amp;"Arial,Vet"&amp;9&amp;A</oddHeader>
    <oddFooter>&amp;L&amp;"Arial,Vet"&amp;9be.keizer@wxs.nl&amp;C&amp;"Arial,Vet"&amp;9pagina &amp;P&amp;R&amp;"Arial,Vet"&amp;9&amp;D</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W140"/>
  <sheetViews>
    <sheetView zoomScale="80" zoomScaleNormal="80" zoomScalePageLayoutView="90" workbookViewId="0">
      <selection activeCell="B2" sqref="B2"/>
    </sheetView>
  </sheetViews>
  <sheetFormatPr defaultRowHeight="12.75" x14ac:dyDescent="0.2"/>
  <cols>
    <col min="1" max="1" width="3.7109375" style="109" customWidth="1"/>
    <col min="2" max="3" width="2.7109375" style="109" customWidth="1"/>
    <col min="4" max="4" width="35.5703125" style="109" customWidth="1"/>
    <col min="5" max="5" width="10.7109375" style="109" customWidth="1"/>
    <col min="6" max="6" width="2.7109375" style="109" customWidth="1"/>
    <col min="7" max="7" width="16.5703125" style="109" hidden="1" customWidth="1"/>
    <col min="8" max="8" width="16.5703125" style="112" hidden="1" customWidth="1"/>
    <col min="9" max="13" width="16.5703125" style="112" customWidth="1"/>
    <col min="14" max="14" width="2.7109375" style="112" customWidth="1"/>
    <col min="15" max="15" width="2.7109375" style="109" customWidth="1"/>
    <col min="16" max="16" width="11.42578125" style="405" customWidth="1"/>
    <col min="17" max="17" width="33.7109375" style="109" customWidth="1"/>
    <col min="18" max="18" width="2.5703125" style="109" customWidth="1"/>
    <col min="19" max="23" width="10.7109375" style="109" customWidth="1"/>
    <col min="24" max="24" width="2.7109375" style="109" customWidth="1"/>
    <col min="25" max="16384" width="9.140625" style="109"/>
  </cols>
  <sheetData>
    <row r="2" spans="2:19" x14ac:dyDescent="0.2">
      <c r="B2" s="71"/>
      <c r="C2" s="72"/>
      <c r="D2" s="72"/>
      <c r="E2" s="72"/>
      <c r="F2" s="72"/>
      <c r="G2" s="72"/>
      <c r="H2" s="73"/>
      <c r="I2" s="73"/>
      <c r="J2" s="73"/>
      <c r="K2" s="73"/>
      <c r="L2" s="73"/>
      <c r="M2" s="73"/>
      <c r="N2" s="73"/>
      <c r="O2" s="74"/>
    </row>
    <row r="3" spans="2:19" x14ac:dyDescent="0.2">
      <c r="B3" s="75"/>
      <c r="C3" s="76"/>
      <c r="D3" s="76"/>
      <c r="E3" s="76"/>
      <c r="F3" s="76"/>
      <c r="G3" s="76"/>
      <c r="H3" s="69"/>
      <c r="I3" s="69"/>
      <c r="J3" s="69"/>
      <c r="K3" s="69"/>
      <c r="L3" s="69"/>
      <c r="M3" s="69"/>
      <c r="N3" s="69"/>
      <c r="O3" s="77"/>
    </row>
    <row r="4" spans="2:19" s="191" customFormat="1" ht="18.75" x14ac:dyDescent="0.3">
      <c r="B4" s="456"/>
      <c r="C4" s="580" t="s">
        <v>48</v>
      </c>
      <c r="D4" s="200"/>
      <c r="E4" s="200"/>
      <c r="F4" s="200"/>
      <c r="G4" s="200"/>
      <c r="H4" s="219"/>
      <c r="I4" s="219"/>
      <c r="J4" s="219"/>
      <c r="K4" s="457"/>
      <c r="L4" s="457"/>
      <c r="M4" s="457"/>
      <c r="N4" s="219"/>
      <c r="O4" s="433"/>
      <c r="P4" s="450"/>
    </row>
    <row r="5" spans="2:19" ht="18.75" x14ac:dyDescent="0.3">
      <c r="B5" s="458"/>
      <c r="C5" s="1360" t="str">
        <f>'geg ll'!C5</f>
        <v>Voorbeeld SWV VO Alkmaar</v>
      </c>
      <c r="D5" s="76"/>
      <c r="E5" s="76"/>
      <c r="F5" s="76"/>
      <c r="G5" s="76"/>
      <c r="H5" s="69"/>
      <c r="I5" s="69"/>
      <c r="J5" s="69"/>
      <c r="K5" s="125"/>
      <c r="L5" s="125"/>
      <c r="M5" s="125"/>
      <c r="N5" s="69"/>
      <c r="O5" s="77"/>
    </row>
    <row r="6" spans="2:19" x14ac:dyDescent="0.2">
      <c r="B6" s="29"/>
      <c r="C6" s="459"/>
      <c r="D6" s="76"/>
      <c r="E6" s="76"/>
      <c r="F6" s="76"/>
      <c r="G6" s="76"/>
      <c r="H6" s="69"/>
      <c r="I6" s="69"/>
      <c r="J6" s="69"/>
      <c r="K6" s="69"/>
      <c r="L6" s="69"/>
      <c r="M6" s="69"/>
      <c r="N6" s="69"/>
      <c r="O6" s="77"/>
    </row>
    <row r="7" spans="2:19" x14ac:dyDescent="0.2">
      <c r="B7" s="29"/>
      <c r="C7" s="459"/>
      <c r="D7" s="76"/>
      <c r="E7" s="76"/>
      <c r="F7" s="76"/>
      <c r="G7" s="76"/>
      <c r="H7" s="69"/>
      <c r="I7" s="460"/>
      <c r="J7" s="69"/>
      <c r="K7" s="69"/>
      <c r="L7" s="69"/>
      <c r="M7" s="69"/>
      <c r="N7" s="69"/>
      <c r="O7" s="77"/>
    </row>
    <row r="8" spans="2:19" s="208" customFormat="1" x14ac:dyDescent="0.2">
      <c r="B8" s="461"/>
      <c r="C8" s="462"/>
      <c r="D8" s="463"/>
      <c r="E8" s="463"/>
      <c r="F8" s="212"/>
      <c r="G8" s="560">
        <f>tab!E4</f>
        <v>2018</v>
      </c>
      <c r="H8" s="560">
        <f>tab!F4</f>
        <v>2019</v>
      </c>
      <c r="I8" s="560">
        <f>tab!G4</f>
        <v>2020</v>
      </c>
      <c r="J8" s="560">
        <f>tab!H4</f>
        <v>2021</v>
      </c>
      <c r="K8" s="560">
        <f>tab!I4</f>
        <v>2022</v>
      </c>
      <c r="L8" s="560">
        <f>tab!J4</f>
        <v>2023</v>
      </c>
      <c r="M8" s="560">
        <f>tab!K4</f>
        <v>2024</v>
      </c>
      <c r="N8" s="464"/>
      <c r="O8" s="213"/>
      <c r="P8" s="451"/>
    </row>
    <row r="9" spans="2:19" x14ac:dyDescent="0.2">
      <c r="B9" s="79"/>
      <c r="C9" s="56"/>
      <c r="D9" s="55"/>
      <c r="E9" s="55"/>
      <c r="F9" s="76"/>
      <c r="G9" s="76"/>
      <c r="H9" s="53"/>
      <c r="I9" s="53"/>
      <c r="J9" s="53"/>
      <c r="K9" s="53"/>
      <c r="L9" s="53"/>
      <c r="M9" s="53"/>
      <c r="N9" s="53"/>
      <c r="O9" s="77"/>
    </row>
    <row r="10" spans="2:19" x14ac:dyDescent="0.2">
      <c r="B10" s="79"/>
      <c r="C10" s="195"/>
      <c r="D10" s="37"/>
      <c r="E10" s="37"/>
      <c r="F10" s="187"/>
      <c r="G10" s="187"/>
      <c r="H10" s="65"/>
      <c r="I10" s="65"/>
      <c r="J10" s="65"/>
      <c r="K10" s="65"/>
      <c r="L10" s="65"/>
      <c r="M10" s="65"/>
      <c r="N10" s="65"/>
      <c r="O10" s="77"/>
    </row>
    <row r="11" spans="2:19" x14ac:dyDescent="0.2">
      <c r="B11" s="75"/>
      <c r="C11" s="187"/>
      <c r="D11" s="567" t="s">
        <v>163</v>
      </c>
      <c r="E11" s="185"/>
      <c r="F11" s="187"/>
      <c r="G11" s="187"/>
      <c r="H11" s="65"/>
      <c r="I11" s="65"/>
      <c r="J11" s="65"/>
      <c r="K11" s="65"/>
      <c r="L11" s="65"/>
      <c r="M11" s="65"/>
      <c r="N11" s="65"/>
      <c r="O11" s="77"/>
    </row>
    <row r="12" spans="2:19" x14ac:dyDescent="0.2">
      <c r="B12" s="75"/>
      <c r="C12" s="187"/>
      <c r="D12" s="187"/>
      <c r="E12" s="187"/>
      <c r="F12" s="187"/>
      <c r="G12" s="187"/>
      <c r="H12" s="187"/>
      <c r="I12" s="187"/>
      <c r="J12" s="187"/>
      <c r="K12" s="187"/>
      <c r="L12" s="187"/>
      <c r="M12" s="187"/>
      <c r="N12" s="187"/>
      <c r="O12" s="133"/>
      <c r="P12" s="452"/>
      <c r="Q12" s="112"/>
      <c r="R12" s="112"/>
      <c r="S12" s="112"/>
    </row>
    <row r="13" spans="2:19" x14ac:dyDescent="0.2">
      <c r="B13" s="75"/>
      <c r="C13" s="187"/>
      <c r="D13" s="567" t="s">
        <v>100</v>
      </c>
      <c r="E13" s="185"/>
      <c r="F13" s="187"/>
      <c r="G13" s="187"/>
      <c r="H13" s="187"/>
      <c r="I13" s="187"/>
      <c r="J13" s="187"/>
      <c r="K13" s="187"/>
      <c r="L13" s="187"/>
      <c r="M13" s="187"/>
      <c r="N13" s="187"/>
      <c r="O13" s="77"/>
    </row>
    <row r="14" spans="2:19" x14ac:dyDescent="0.2">
      <c r="B14" s="75"/>
      <c r="C14" s="187"/>
      <c r="D14" s="187" t="s">
        <v>254</v>
      </c>
      <c r="E14" s="187"/>
      <c r="F14" s="187"/>
      <c r="G14" s="66">
        <v>0</v>
      </c>
      <c r="H14" s="66">
        <v>0</v>
      </c>
      <c r="I14" s="66">
        <f t="shared" ref="I14:M14" si="0">+H14</f>
        <v>0</v>
      </c>
      <c r="J14" s="66">
        <f t="shared" si="0"/>
        <v>0</v>
      </c>
      <c r="K14" s="66">
        <f t="shared" si="0"/>
        <v>0</v>
      </c>
      <c r="L14" s="66">
        <f t="shared" si="0"/>
        <v>0</v>
      </c>
      <c r="M14" s="1444">
        <f t="shared" si="0"/>
        <v>0</v>
      </c>
      <c r="N14" s="70"/>
      <c r="O14" s="77"/>
    </row>
    <row r="15" spans="2:19" x14ac:dyDescent="0.2">
      <c r="B15" s="75"/>
      <c r="C15" s="187"/>
      <c r="D15" s="187" t="s">
        <v>255</v>
      </c>
      <c r="E15" s="187"/>
      <c r="F15" s="187"/>
      <c r="G15" s="522">
        <f>act!F16</f>
        <v>27750</v>
      </c>
      <c r="H15" s="1450">
        <f>act!F43</f>
        <v>13875</v>
      </c>
      <c r="I15" s="522">
        <f>+act!F13</f>
        <v>27750</v>
      </c>
      <c r="J15" s="522">
        <f>+act!G13</f>
        <v>13875</v>
      </c>
      <c r="K15" s="522">
        <f>+act!H13</f>
        <v>0</v>
      </c>
      <c r="L15" s="522">
        <f>+act!I13</f>
        <v>41625</v>
      </c>
      <c r="M15" s="522">
        <f>+act!J13</f>
        <v>27750</v>
      </c>
      <c r="N15" s="218"/>
      <c r="O15" s="77"/>
    </row>
    <row r="16" spans="2:19" x14ac:dyDescent="0.2">
      <c r="B16" s="75"/>
      <c r="C16" s="187"/>
      <c r="D16" s="187" t="s">
        <v>256</v>
      </c>
      <c r="E16" s="187"/>
      <c r="F16" s="187"/>
      <c r="G16" s="66">
        <v>0</v>
      </c>
      <c r="H16" s="66">
        <v>0</v>
      </c>
      <c r="I16" s="66">
        <f t="shared" ref="I16:M16" si="1">+H16</f>
        <v>0</v>
      </c>
      <c r="J16" s="66">
        <f t="shared" si="1"/>
        <v>0</v>
      </c>
      <c r="K16" s="66">
        <f t="shared" si="1"/>
        <v>0</v>
      </c>
      <c r="L16" s="66">
        <f t="shared" si="1"/>
        <v>0</v>
      </c>
      <c r="M16" s="1444">
        <f t="shared" si="1"/>
        <v>0</v>
      </c>
      <c r="N16" s="218"/>
      <c r="O16" s="77"/>
    </row>
    <row r="17" spans="2:23" x14ac:dyDescent="0.2">
      <c r="B17" s="75"/>
      <c r="C17" s="187"/>
      <c r="D17" s="432"/>
      <c r="E17" s="432"/>
      <c r="F17" s="187"/>
      <c r="G17" s="540">
        <f t="shared" ref="G17:M17" si="2">SUM(G14:G16)</f>
        <v>27750</v>
      </c>
      <c r="H17" s="540">
        <f t="shared" si="2"/>
        <v>13875</v>
      </c>
      <c r="I17" s="540">
        <f t="shared" si="2"/>
        <v>27750</v>
      </c>
      <c r="J17" s="540">
        <f t="shared" si="2"/>
        <v>13875</v>
      </c>
      <c r="K17" s="540">
        <f t="shared" si="2"/>
        <v>0</v>
      </c>
      <c r="L17" s="540">
        <f t="shared" si="2"/>
        <v>41625</v>
      </c>
      <c r="M17" s="540">
        <f t="shared" si="2"/>
        <v>27750</v>
      </c>
      <c r="N17" s="403"/>
      <c r="O17" s="77"/>
    </row>
    <row r="18" spans="2:23" x14ac:dyDescent="0.2">
      <c r="B18" s="75"/>
      <c r="C18" s="187"/>
      <c r="D18" s="567" t="s">
        <v>105</v>
      </c>
      <c r="E18" s="185"/>
      <c r="F18" s="187"/>
      <c r="G18" s="187"/>
      <c r="H18" s="218"/>
      <c r="I18" s="218"/>
      <c r="J18" s="218"/>
      <c r="K18" s="218"/>
      <c r="L18" s="218"/>
      <c r="M18" s="218"/>
      <c r="N18" s="218"/>
      <c r="O18" s="77"/>
    </row>
    <row r="19" spans="2:23" x14ac:dyDescent="0.2">
      <c r="B19" s="75"/>
      <c r="C19" s="187"/>
      <c r="D19" s="187" t="s">
        <v>257</v>
      </c>
      <c r="E19" s="187"/>
      <c r="F19" s="187"/>
      <c r="G19" s="66">
        <v>0</v>
      </c>
      <c r="H19" s="66">
        <v>0</v>
      </c>
      <c r="I19" s="66">
        <f t="shared" ref="I19:M19" si="3">+H19</f>
        <v>0</v>
      </c>
      <c r="J19" s="66">
        <f t="shared" si="3"/>
        <v>0</v>
      </c>
      <c r="K19" s="66">
        <f t="shared" si="3"/>
        <v>0</v>
      </c>
      <c r="L19" s="66">
        <f t="shared" si="3"/>
        <v>0</v>
      </c>
      <c r="M19" s="1444">
        <f t="shared" si="3"/>
        <v>0</v>
      </c>
      <c r="N19" s="218"/>
      <c r="O19" s="77"/>
    </row>
    <row r="20" spans="2:23" x14ac:dyDescent="0.2">
      <c r="B20" s="75"/>
      <c r="C20" s="187"/>
      <c r="D20" s="187" t="s">
        <v>258</v>
      </c>
      <c r="E20" s="187"/>
      <c r="F20" s="187"/>
      <c r="G20" s="66">
        <v>0</v>
      </c>
      <c r="H20" s="66">
        <v>0</v>
      </c>
      <c r="I20" s="66">
        <f t="shared" ref="I20:M21" si="4">+H20</f>
        <v>0</v>
      </c>
      <c r="J20" s="66">
        <f t="shared" si="4"/>
        <v>0</v>
      </c>
      <c r="K20" s="66">
        <f t="shared" si="4"/>
        <v>0</v>
      </c>
      <c r="L20" s="66">
        <f t="shared" si="4"/>
        <v>0</v>
      </c>
      <c r="M20" s="1444">
        <f t="shared" si="4"/>
        <v>0</v>
      </c>
      <c r="N20" s="218"/>
      <c r="O20" s="77"/>
    </row>
    <row r="21" spans="2:23" x14ac:dyDescent="0.2">
      <c r="B21" s="75"/>
      <c r="C21" s="187"/>
      <c r="D21" s="187" t="s">
        <v>259</v>
      </c>
      <c r="E21" s="187"/>
      <c r="F21" s="187"/>
      <c r="G21" s="66">
        <v>0</v>
      </c>
      <c r="H21" s="66">
        <v>0</v>
      </c>
      <c r="I21" s="66">
        <f t="shared" si="4"/>
        <v>0</v>
      </c>
      <c r="J21" s="66">
        <f t="shared" si="4"/>
        <v>0</v>
      </c>
      <c r="K21" s="66">
        <f t="shared" si="4"/>
        <v>0</v>
      </c>
      <c r="L21" s="66">
        <f t="shared" si="4"/>
        <v>0</v>
      </c>
      <c r="M21" s="1444">
        <f t="shared" si="4"/>
        <v>0</v>
      </c>
      <c r="N21" s="218"/>
      <c r="O21" s="77"/>
    </row>
    <row r="22" spans="2:23" x14ac:dyDescent="0.2">
      <c r="B22" s="75"/>
      <c r="C22" s="187"/>
      <c r="D22" s="187" t="s">
        <v>260</v>
      </c>
      <c r="E22" s="187"/>
      <c r="F22" s="187"/>
      <c r="G22" s="1451">
        <v>0</v>
      </c>
      <c r="H22" s="1450">
        <f>H56-(H17+SUM(H19:H21))</f>
        <v>13875</v>
      </c>
      <c r="I22" s="67">
        <f t="shared" ref="I22:M22" si="5">I56-(I17+(SUM(I19:I21)))</f>
        <v>0</v>
      </c>
      <c r="J22" s="67">
        <f t="shared" si="5"/>
        <v>11515344.735809159</v>
      </c>
      <c r="K22" s="67">
        <f t="shared" si="5"/>
        <v>22313240.764108557</v>
      </c>
      <c r="L22" s="67">
        <f t="shared" si="5"/>
        <v>33544955.436056085</v>
      </c>
      <c r="M22" s="67">
        <f t="shared" si="5"/>
        <v>44827415.988003612</v>
      </c>
      <c r="N22" s="218"/>
      <c r="O22" s="77"/>
    </row>
    <row r="23" spans="2:23" x14ac:dyDescent="0.2">
      <c r="B23" s="75"/>
      <c r="C23" s="187"/>
      <c r="D23" s="432"/>
      <c r="E23" s="432"/>
      <c r="F23" s="187"/>
      <c r="G23" s="540">
        <f>SUM(G20:G22)</f>
        <v>0</v>
      </c>
      <c r="H23" s="540">
        <f t="shared" ref="H23:M23" si="6">SUM(H19:H22)</f>
        <v>13875</v>
      </c>
      <c r="I23" s="540">
        <f t="shared" si="6"/>
        <v>0</v>
      </c>
      <c r="J23" s="540">
        <f t="shared" si="6"/>
        <v>11515344.735809159</v>
      </c>
      <c r="K23" s="540">
        <f t="shared" si="6"/>
        <v>22313240.764108557</v>
      </c>
      <c r="L23" s="540">
        <f t="shared" si="6"/>
        <v>33544955.436056085</v>
      </c>
      <c r="M23" s="540">
        <f t="shared" si="6"/>
        <v>44827415.988003612</v>
      </c>
      <c r="N23" s="403"/>
      <c r="O23" s="77"/>
    </row>
    <row r="24" spans="2:23" x14ac:dyDescent="0.2">
      <c r="B24" s="75"/>
      <c r="C24" s="187"/>
      <c r="D24" s="187"/>
      <c r="E24" s="187"/>
      <c r="F24" s="187"/>
      <c r="G24" s="187"/>
      <c r="H24" s="187"/>
      <c r="I24" s="187"/>
      <c r="J24" s="187"/>
      <c r="K24" s="187"/>
      <c r="L24" s="187"/>
      <c r="M24" s="187"/>
      <c r="N24" s="187"/>
      <c r="O24" s="77"/>
    </row>
    <row r="25" spans="2:23" x14ac:dyDescent="0.2">
      <c r="B25" s="75"/>
      <c r="C25" s="187"/>
      <c r="D25" s="432" t="s">
        <v>214</v>
      </c>
      <c r="E25" s="432"/>
      <c r="F25" s="472"/>
      <c r="G25" s="519">
        <f t="shared" ref="G25:M25" si="7">G17+G23</f>
        <v>27750</v>
      </c>
      <c r="H25" s="519">
        <f t="shared" si="7"/>
        <v>27750</v>
      </c>
      <c r="I25" s="519">
        <f t="shared" si="7"/>
        <v>27750</v>
      </c>
      <c r="J25" s="519">
        <f t="shared" si="7"/>
        <v>11529219.735809159</v>
      </c>
      <c r="K25" s="519">
        <f t="shared" si="7"/>
        <v>22313240.764108557</v>
      </c>
      <c r="L25" s="519">
        <f t="shared" si="7"/>
        <v>33586580.436056085</v>
      </c>
      <c r="M25" s="519">
        <f t="shared" si="7"/>
        <v>44855165.988003612</v>
      </c>
      <c r="N25" s="403"/>
      <c r="O25" s="77"/>
    </row>
    <row r="26" spans="2:23" x14ac:dyDescent="0.2">
      <c r="B26" s="75"/>
      <c r="C26" s="187"/>
      <c r="D26" s="187"/>
      <c r="E26" s="187"/>
      <c r="F26" s="472"/>
      <c r="G26" s="472"/>
      <c r="H26" s="70"/>
      <c r="I26" s="70"/>
      <c r="J26" s="70"/>
      <c r="K26" s="70"/>
      <c r="L26" s="70"/>
      <c r="M26" s="70"/>
      <c r="N26" s="70"/>
      <c r="O26" s="77"/>
      <c r="Q26" s="397"/>
      <c r="S26" s="453"/>
      <c r="T26" s="453"/>
      <c r="U26" s="453"/>
      <c r="V26" s="453"/>
      <c r="W26" s="453"/>
    </row>
    <row r="27" spans="2:23" x14ac:dyDescent="0.2">
      <c r="B27" s="75"/>
      <c r="C27" s="76"/>
      <c r="D27" s="76"/>
      <c r="E27" s="76"/>
      <c r="F27" s="465"/>
      <c r="G27" s="465"/>
      <c r="H27" s="69"/>
      <c r="I27" s="69"/>
      <c r="J27" s="69"/>
      <c r="K27" s="69"/>
      <c r="L27" s="69"/>
      <c r="M27" s="69"/>
      <c r="N27" s="69"/>
      <c r="O27" s="77"/>
      <c r="Q27" s="397"/>
      <c r="S27" s="453"/>
      <c r="T27" s="453"/>
      <c r="U27" s="453"/>
      <c r="V27" s="453"/>
      <c r="W27" s="453"/>
    </row>
    <row r="28" spans="2:23" x14ac:dyDescent="0.2">
      <c r="B28" s="75"/>
      <c r="C28" s="187"/>
      <c r="D28" s="187"/>
      <c r="E28" s="187"/>
      <c r="F28" s="472"/>
      <c r="G28" s="472"/>
      <c r="H28" s="472"/>
      <c r="I28" s="472"/>
      <c r="J28" s="472"/>
      <c r="K28" s="472"/>
      <c r="L28" s="472"/>
      <c r="M28" s="472"/>
      <c r="N28" s="472"/>
      <c r="O28" s="77"/>
      <c r="Q28" s="397"/>
      <c r="S28" s="453"/>
      <c r="T28" s="453"/>
      <c r="U28" s="453"/>
      <c r="V28" s="453"/>
      <c r="W28" s="453"/>
    </row>
    <row r="29" spans="2:23" x14ac:dyDescent="0.2">
      <c r="B29" s="75"/>
      <c r="C29" s="187"/>
      <c r="D29" s="567" t="s">
        <v>213</v>
      </c>
      <c r="E29" s="185"/>
      <c r="F29" s="187"/>
      <c r="G29" s="472"/>
      <c r="H29" s="70"/>
      <c r="I29" s="70"/>
      <c r="J29" s="70"/>
      <c r="K29" s="70"/>
      <c r="L29" s="70"/>
      <c r="M29" s="70"/>
      <c r="N29" s="70"/>
      <c r="O29" s="77"/>
      <c r="Q29" s="397"/>
      <c r="S29" s="453"/>
      <c r="T29" s="453"/>
      <c r="U29" s="453"/>
      <c r="V29" s="453"/>
      <c r="W29" s="453"/>
    </row>
    <row r="30" spans="2:23" x14ac:dyDescent="0.2">
      <c r="B30" s="75"/>
      <c r="C30" s="186"/>
      <c r="D30" s="573"/>
      <c r="E30" s="187"/>
      <c r="F30" s="472"/>
      <c r="G30" s="472"/>
      <c r="H30" s="70"/>
      <c r="I30" s="70"/>
      <c r="J30" s="70"/>
      <c r="K30" s="70"/>
      <c r="L30" s="70"/>
      <c r="M30" s="70"/>
      <c r="N30" s="70"/>
      <c r="O30" s="77"/>
      <c r="Q30" s="397"/>
      <c r="S30" s="453"/>
      <c r="T30" s="453"/>
      <c r="U30" s="453"/>
      <c r="V30" s="453"/>
      <c r="W30" s="453"/>
    </row>
    <row r="31" spans="2:23" x14ac:dyDescent="0.2">
      <c r="B31" s="75"/>
      <c r="C31" s="187"/>
      <c r="D31" s="567" t="s">
        <v>261</v>
      </c>
      <c r="E31" s="185"/>
      <c r="F31" s="187"/>
      <c r="G31" s="472"/>
      <c r="H31" s="70"/>
      <c r="I31" s="70"/>
      <c r="J31" s="70"/>
      <c r="K31" s="70"/>
      <c r="L31" s="70"/>
      <c r="M31" s="70"/>
      <c r="N31" s="403"/>
      <c r="O31" s="77"/>
      <c r="Q31" s="397"/>
      <c r="S31" s="453"/>
      <c r="T31" s="453"/>
      <c r="U31" s="453"/>
      <c r="V31" s="453"/>
      <c r="W31" s="453"/>
    </row>
    <row r="32" spans="2:23" x14ac:dyDescent="0.2">
      <c r="B32" s="75"/>
      <c r="C32" s="187"/>
      <c r="D32" s="187" t="s">
        <v>215</v>
      </c>
      <c r="E32" s="187"/>
      <c r="F32" s="187"/>
      <c r="G32" s="67">
        <f>G25-(G33+G34+G35+G41+G45+G54)</f>
        <v>27750</v>
      </c>
      <c r="H32" s="1450">
        <f>G36+begr!G50-SUM(bal!H33:H35)</f>
        <v>27750</v>
      </c>
      <c r="I32" s="67">
        <f>H36+begr!G50-SUM(I33:I35)</f>
        <v>27750</v>
      </c>
      <c r="J32" s="67">
        <f>I36+begr!H50-SUM(J33:J35)</f>
        <v>11529219.735809159</v>
      </c>
      <c r="K32" s="67">
        <f>J36+begr!I50-SUM(K33:K35)</f>
        <v>22314285.664108556</v>
      </c>
      <c r="L32" s="67">
        <f>K36+begr!J50-SUM(L33:L35)</f>
        <v>33589088.196056083</v>
      </c>
      <c r="M32" s="67">
        <f>L36+begr!K50-SUM(M33:M35)</f>
        <v>44857673.748003609</v>
      </c>
      <c r="N32" s="187"/>
      <c r="O32" s="77"/>
      <c r="Q32" s="397"/>
      <c r="S32" s="453"/>
      <c r="T32" s="453"/>
      <c r="U32" s="453"/>
      <c r="V32" s="453"/>
      <c r="W32" s="453"/>
    </row>
    <row r="33" spans="2:23" x14ac:dyDescent="0.2">
      <c r="B33" s="75"/>
      <c r="C33" s="187"/>
      <c r="D33" s="187" t="s">
        <v>216</v>
      </c>
      <c r="E33" s="187"/>
      <c r="F33" s="187"/>
      <c r="G33" s="66">
        <v>0</v>
      </c>
      <c r="H33" s="66">
        <v>0</v>
      </c>
      <c r="I33" s="66">
        <f t="shared" ref="I33:M33" si="8">+H33</f>
        <v>0</v>
      </c>
      <c r="J33" s="66">
        <f t="shared" si="8"/>
        <v>0</v>
      </c>
      <c r="K33" s="66">
        <f t="shared" si="8"/>
        <v>0</v>
      </c>
      <c r="L33" s="66">
        <f t="shared" si="8"/>
        <v>0</v>
      </c>
      <c r="M33" s="1444">
        <f t="shared" si="8"/>
        <v>0</v>
      </c>
      <c r="N33" s="187"/>
      <c r="O33" s="77"/>
      <c r="Q33" s="397"/>
      <c r="S33" s="453"/>
      <c r="T33" s="453"/>
      <c r="U33" s="453"/>
      <c r="V33" s="453"/>
      <c r="W33" s="453"/>
    </row>
    <row r="34" spans="2:23" x14ac:dyDescent="0.2">
      <c r="B34" s="75"/>
      <c r="C34" s="187"/>
      <c r="D34" s="187" t="s">
        <v>217</v>
      </c>
      <c r="E34" s="187"/>
      <c r="F34" s="187"/>
      <c r="G34" s="66">
        <v>0</v>
      </c>
      <c r="H34" s="66">
        <v>0</v>
      </c>
      <c r="I34" s="66">
        <f t="shared" ref="I34:M35" si="9">+H34</f>
        <v>0</v>
      </c>
      <c r="J34" s="66">
        <f t="shared" si="9"/>
        <v>0</v>
      </c>
      <c r="K34" s="66">
        <f t="shared" si="9"/>
        <v>0</v>
      </c>
      <c r="L34" s="66">
        <f t="shared" si="9"/>
        <v>0</v>
      </c>
      <c r="M34" s="1444">
        <f t="shared" si="9"/>
        <v>0</v>
      </c>
      <c r="N34" s="187"/>
      <c r="O34" s="77"/>
      <c r="Q34" s="397"/>
      <c r="S34" s="453"/>
      <c r="T34" s="453"/>
      <c r="U34" s="453"/>
      <c r="V34" s="453"/>
      <c r="W34" s="453"/>
    </row>
    <row r="35" spans="2:23" x14ac:dyDescent="0.2">
      <c r="B35" s="75"/>
      <c r="C35" s="187"/>
      <c r="D35" s="187" t="s">
        <v>218</v>
      </c>
      <c r="E35" s="187"/>
      <c r="F35" s="187"/>
      <c r="G35" s="66">
        <v>0</v>
      </c>
      <c r="H35" s="66">
        <v>0</v>
      </c>
      <c r="I35" s="66">
        <f t="shared" si="9"/>
        <v>0</v>
      </c>
      <c r="J35" s="66">
        <f t="shared" si="9"/>
        <v>0</v>
      </c>
      <c r="K35" s="66">
        <f t="shared" si="9"/>
        <v>0</v>
      </c>
      <c r="L35" s="66">
        <f t="shared" si="9"/>
        <v>0</v>
      </c>
      <c r="M35" s="1444">
        <f t="shared" si="9"/>
        <v>0</v>
      </c>
      <c r="N35" s="187"/>
      <c r="O35" s="77"/>
      <c r="Q35" s="397"/>
      <c r="S35" s="453"/>
      <c r="T35" s="453"/>
      <c r="U35" s="453"/>
      <c r="V35" s="453"/>
      <c r="W35" s="453"/>
    </row>
    <row r="36" spans="2:23" x14ac:dyDescent="0.2">
      <c r="B36" s="75"/>
      <c r="C36" s="187"/>
      <c r="D36" s="195"/>
      <c r="E36" s="195"/>
      <c r="F36" s="187"/>
      <c r="G36" s="540">
        <f t="shared" ref="G36:M36" si="10">SUM(G32:G35)</f>
        <v>27750</v>
      </c>
      <c r="H36" s="540">
        <f t="shared" si="10"/>
        <v>27750</v>
      </c>
      <c r="I36" s="540">
        <f t="shared" si="10"/>
        <v>27750</v>
      </c>
      <c r="J36" s="540">
        <f t="shared" si="10"/>
        <v>11529219.735809159</v>
      </c>
      <c r="K36" s="540">
        <f t="shared" si="10"/>
        <v>22314285.664108556</v>
      </c>
      <c r="L36" s="540">
        <f t="shared" si="10"/>
        <v>33589088.196056083</v>
      </c>
      <c r="M36" s="540">
        <f t="shared" si="10"/>
        <v>44857673.748003609</v>
      </c>
      <c r="N36" s="187"/>
      <c r="O36" s="77"/>
      <c r="Q36" s="397"/>
      <c r="S36" s="453"/>
      <c r="T36" s="453"/>
      <c r="U36" s="453"/>
      <c r="V36" s="453"/>
      <c r="W36" s="453"/>
    </row>
    <row r="37" spans="2:23" x14ac:dyDescent="0.2">
      <c r="B37" s="75"/>
      <c r="C37" s="187"/>
      <c r="D37" s="567" t="s">
        <v>262</v>
      </c>
      <c r="E37" s="185"/>
      <c r="F37" s="187"/>
      <c r="G37" s="187"/>
      <c r="H37" s="187"/>
      <c r="I37" s="187"/>
      <c r="J37" s="187"/>
      <c r="K37" s="187"/>
      <c r="L37" s="187"/>
      <c r="M37" s="187"/>
      <c r="N37" s="187"/>
      <c r="O37" s="77"/>
      <c r="Q37" s="397"/>
      <c r="S37" s="453"/>
      <c r="T37" s="453"/>
      <c r="U37" s="453"/>
      <c r="V37" s="453"/>
      <c r="W37" s="453"/>
    </row>
    <row r="38" spans="2:23" x14ac:dyDescent="0.2">
      <c r="B38" s="75"/>
      <c r="C38" s="187"/>
      <c r="D38" s="187" t="s">
        <v>231</v>
      </c>
      <c r="E38" s="187"/>
      <c r="F38" s="187"/>
      <c r="G38" s="66">
        <v>0</v>
      </c>
      <c r="H38" s="66">
        <v>0</v>
      </c>
      <c r="I38" s="66">
        <f t="shared" ref="I38:M38" si="11">+H38</f>
        <v>0</v>
      </c>
      <c r="J38" s="66">
        <f t="shared" si="11"/>
        <v>0</v>
      </c>
      <c r="K38" s="66">
        <f t="shared" si="11"/>
        <v>0</v>
      </c>
      <c r="L38" s="66">
        <f t="shared" si="11"/>
        <v>0</v>
      </c>
      <c r="M38" s="1444">
        <f t="shared" si="11"/>
        <v>0</v>
      </c>
      <c r="N38" s="187"/>
      <c r="O38" s="77"/>
      <c r="Q38" s="397"/>
      <c r="S38" s="453"/>
      <c r="T38" s="453"/>
      <c r="U38" s="453"/>
      <c r="V38" s="453"/>
      <c r="W38" s="453"/>
    </row>
    <row r="39" spans="2:23" x14ac:dyDescent="0.2">
      <c r="B39" s="75"/>
      <c r="C39" s="187"/>
      <c r="D39" s="187" t="s">
        <v>225</v>
      </c>
      <c r="E39" s="187"/>
      <c r="F39" s="187"/>
      <c r="G39" s="66">
        <v>0</v>
      </c>
      <c r="H39" s="66">
        <v>0</v>
      </c>
      <c r="I39" s="1454">
        <f>+H39+pers!I126+pers!I146-(7/12*' sal SWV'!$AL35+5/12*' sal SWV'!$AL67)</f>
        <v>0</v>
      </c>
      <c r="J39" s="1454">
        <f>+I39+pers!J126+pers!J146-(7/12*' sal SWV'!$AL67+5/12*' sal SWV'!$AL99)</f>
        <v>0</v>
      </c>
      <c r="K39" s="1454">
        <f>+J39+pers!K126+pers!K146-(7/12*' sal SWV'!$AL99+5/12*' sal SWV'!$AL131)</f>
        <v>-1044.9000000000001</v>
      </c>
      <c r="L39" s="1454">
        <f>+K39+pers!L126+pers!L146-(7/12*' sal SWV'!$AL131+5/12*' sal SWV'!$AL163)</f>
        <v>-2507.7600000000002</v>
      </c>
      <c r="M39" s="1454">
        <f>+L39+pers!M126+pers!M146-(7/12*' sal SWV'!$AL163+5/12*' sal SWV'!$AL195)</f>
        <v>-2507.7600000000002</v>
      </c>
      <c r="N39" s="218"/>
      <c r="O39" s="77"/>
      <c r="Q39" s="397"/>
      <c r="S39" s="453"/>
      <c r="T39" s="453"/>
      <c r="U39" s="453"/>
      <c r="V39" s="453"/>
      <c r="W39" s="453"/>
    </row>
    <row r="40" spans="2:23" x14ac:dyDescent="0.2">
      <c r="B40" s="75"/>
      <c r="C40" s="187"/>
      <c r="D40" s="187" t="s">
        <v>263</v>
      </c>
      <c r="E40" s="187"/>
      <c r="F40" s="187"/>
      <c r="G40" s="66">
        <v>0</v>
      </c>
      <c r="H40" s="66">
        <v>0</v>
      </c>
      <c r="I40" s="66">
        <f t="shared" ref="I40:M40" si="12">H40</f>
        <v>0</v>
      </c>
      <c r="J40" s="66">
        <f t="shared" si="12"/>
        <v>0</v>
      </c>
      <c r="K40" s="66">
        <f t="shared" si="12"/>
        <v>0</v>
      </c>
      <c r="L40" s="66">
        <f t="shared" si="12"/>
        <v>0</v>
      </c>
      <c r="M40" s="1444">
        <f t="shared" si="12"/>
        <v>0</v>
      </c>
      <c r="N40" s="218"/>
      <c r="O40" s="77"/>
      <c r="Q40" s="397"/>
      <c r="S40" s="453"/>
      <c r="T40" s="453"/>
      <c r="U40" s="453"/>
      <c r="V40" s="453"/>
      <c r="W40" s="453"/>
    </row>
    <row r="41" spans="2:23" x14ac:dyDescent="0.2">
      <c r="B41" s="75"/>
      <c r="C41" s="187"/>
      <c r="D41" s="195"/>
      <c r="E41" s="195"/>
      <c r="F41" s="187"/>
      <c r="G41" s="540">
        <f t="shared" ref="G41:M41" si="13">SUM(G38:G40)</f>
        <v>0</v>
      </c>
      <c r="H41" s="540">
        <f t="shared" si="13"/>
        <v>0</v>
      </c>
      <c r="I41" s="540">
        <f t="shared" si="13"/>
        <v>0</v>
      </c>
      <c r="J41" s="540">
        <f t="shared" si="13"/>
        <v>0</v>
      </c>
      <c r="K41" s="540">
        <f t="shared" si="13"/>
        <v>-1044.9000000000001</v>
      </c>
      <c r="L41" s="540">
        <f t="shared" si="13"/>
        <v>-2507.7600000000002</v>
      </c>
      <c r="M41" s="540">
        <f t="shared" si="13"/>
        <v>-2507.7600000000002</v>
      </c>
      <c r="N41" s="403"/>
      <c r="O41" s="77"/>
      <c r="Q41" s="397"/>
      <c r="S41" s="453"/>
      <c r="T41" s="453"/>
      <c r="U41" s="453"/>
      <c r="V41" s="453"/>
      <c r="W41" s="453"/>
    </row>
    <row r="42" spans="2:23" x14ac:dyDescent="0.2">
      <c r="B42" s="75"/>
      <c r="C42" s="187"/>
      <c r="D42" s="567" t="s">
        <v>264</v>
      </c>
      <c r="E42" s="185"/>
      <c r="F42" s="187"/>
      <c r="G42" s="187"/>
      <c r="H42" s="218"/>
      <c r="I42" s="218"/>
      <c r="J42" s="218"/>
      <c r="K42" s="218"/>
      <c r="L42" s="218"/>
      <c r="M42" s="218"/>
      <c r="N42" s="218"/>
      <c r="O42" s="77"/>
      <c r="Q42" s="397"/>
      <c r="S42" s="453"/>
      <c r="T42" s="453"/>
      <c r="U42" s="453"/>
      <c r="V42" s="453"/>
      <c r="W42" s="453"/>
    </row>
    <row r="43" spans="2:23" x14ac:dyDescent="0.2">
      <c r="B43" s="75"/>
      <c r="C43" s="187"/>
      <c r="D43" s="187" t="s">
        <v>191</v>
      </c>
      <c r="E43" s="187"/>
      <c r="F43" s="187"/>
      <c r="G43" s="66">
        <v>0</v>
      </c>
      <c r="H43" s="66">
        <v>0</v>
      </c>
      <c r="I43" s="66">
        <f t="shared" ref="I43:M44" si="14">+H43</f>
        <v>0</v>
      </c>
      <c r="J43" s="66">
        <f t="shared" si="14"/>
        <v>0</v>
      </c>
      <c r="K43" s="66">
        <f t="shared" si="14"/>
        <v>0</v>
      </c>
      <c r="L43" s="66">
        <f t="shared" si="14"/>
        <v>0</v>
      </c>
      <c r="M43" s="1444">
        <f t="shared" si="14"/>
        <v>0</v>
      </c>
      <c r="N43" s="218"/>
      <c r="O43" s="77"/>
      <c r="Q43" s="397"/>
      <c r="S43" s="453"/>
      <c r="T43" s="453"/>
      <c r="U43" s="453"/>
      <c r="V43" s="453"/>
      <c r="W43" s="453"/>
    </row>
    <row r="44" spans="2:23" x14ac:dyDescent="0.2">
      <c r="B44" s="75"/>
      <c r="C44" s="187"/>
      <c r="D44" s="187" t="s">
        <v>192</v>
      </c>
      <c r="E44" s="187"/>
      <c r="F44" s="187"/>
      <c r="G44" s="66">
        <v>0</v>
      </c>
      <c r="H44" s="66">
        <v>0</v>
      </c>
      <c r="I44" s="66">
        <f t="shared" si="14"/>
        <v>0</v>
      </c>
      <c r="J44" s="66">
        <f t="shared" si="14"/>
        <v>0</v>
      </c>
      <c r="K44" s="66">
        <f t="shared" si="14"/>
        <v>0</v>
      </c>
      <c r="L44" s="66">
        <f t="shared" si="14"/>
        <v>0</v>
      </c>
      <c r="M44" s="1444">
        <f t="shared" si="14"/>
        <v>0</v>
      </c>
      <c r="N44" s="218"/>
      <c r="O44" s="77"/>
      <c r="Q44" s="397"/>
      <c r="S44" s="453"/>
      <c r="T44" s="453"/>
      <c r="U44" s="453"/>
      <c r="V44" s="453"/>
      <c r="W44" s="453"/>
    </row>
    <row r="45" spans="2:23" x14ac:dyDescent="0.2">
      <c r="B45" s="75"/>
      <c r="C45" s="187"/>
      <c r="D45" s="432"/>
      <c r="E45" s="432"/>
      <c r="F45" s="187"/>
      <c r="G45" s="540">
        <f t="shared" ref="G45:M45" si="15">SUM(G43:G44)</f>
        <v>0</v>
      </c>
      <c r="H45" s="540">
        <f t="shared" si="15"/>
        <v>0</v>
      </c>
      <c r="I45" s="540">
        <f t="shared" si="15"/>
        <v>0</v>
      </c>
      <c r="J45" s="540">
        <f t="shared" si="15"/>
        <v>0</v>
      </c>
      <c r="K45" s="540">
        <f t="shared" si="15"/>
        <v>0</v>
      </c>
      <c r="L45" s="540">
        <f t="shared" si="15"/>
        <v>0</v>
      </c>
      <c r="M45" s="540">
        <f t="shared" si="15"/>
        <v>0</v>
      </c>
      <c r="N45" s="403"/>
      <c r="O45" s="77"/>
      <c r="Q45" s="397"/>
      <c r="S45" s="453"/>
      <c r="T45" s="453"/>
      <c r="U45" s="453"/>
      <c r="V45" s="453"/>
      <c r="W45" s="453"/>
    </row>
    <row r="46" spans="2:23" x14ac:dyDescent="0.2">
      <c r="B46" s="75"/>
      <c r="C46" s="187"/>
      <c r="D46" s="567" t="s">
        <v>265</v>
      </c>
      <c r="E46" s="185"/>
      <c r="F46" s="187"/>
      <c r="G46" s="187"/>
      <c r="H46" s="218"/>
      <c r="I46" s="218"/>
      <c r="J46" s="218"/>
      <c r="K46" s="218"/>
      <c r="L46" s="218"/>
      <c r="M46" s="218"/>
      <c r="N46" s="218"/>
      <c r="O46" s="77"/>
      <c r="Q46" s="397"/>
      <c r="S46" s="453"/>
      <c r="T46" s="453"/>
      <c r="U46" s="453"/>
      <c r="V46" s="453"/>
      <c r="W46" s="453"/>
    </row>
    <row r="47" spans="2:23" x14ac:dyDescent="0.2">
      <c r="B47" s="75"/>
      <c r="C47" s="187"/>
      <c r="D47" s="187" t="s">
        <v>191</v>
      </c>
      <c r="E47" s="187"/>
      <c r="F47" s="187"/>
      <c r="G47" s="66">
        <v>0</v>
      </c>
      <c r="H47" s="66">
        <v>0</v>
      </c>
      <c r="I47" s="66">
        <f t="shared" ref="I47:M47" si="16">+H47</f>
        <v>0</v>
      </c>
      <c r="J47" s="66">
        <f t="shared" si="16"/>
        <v>0</v>
      </c>
      <c r="K47" s="66">
        <f t="shared" si="16"/>
        <v>0</v>
      </c>
      <c r="L47" s="66">
        <f t="shared" si="16"/>
        <v>0</v>
      </c>
      <c r="M47" s="1444">
        <f t="shared" si="16"/>
        <v>0</v>
      </c>
      <c r="N47" s="218"/>
      <c r="O47" s="77"/>
      <c r="Q47" s="397"/>
      <c r="S47" s="453"/>
      <c r="T47" s="453"/>
      <c r="U47" s="453"/>
      <c r="V47" s="453"/>
      <c r="W47" s="453"/>
    </row>
    <row r="48" spans="2:23" x14ac:dyDescent="0.2">
      <c r="B48" s="75"/>
      <c r="C48" s="187"/>
      <c r="D48" s="187" t="s">
        <v>193</v>
      </c>
      <c r="E48" s="187"/>
      <c r="F48" s="187"/>
      <c r="G48" s="66">
        <v>0</v>
      </c>
      <c r="H48" s="66">
        <v>0</v>
      </c>
      <c r="I48" s="66">
        <f t="shared" ref="I48:M53" si="17">+H48</f>
        <v>0</v>
      </c>
      <c r="J48" s="66">
        <f t="shared" si="17"/>
        <v>0</v>
      </c>
      <c r="K48" s="66">
        <f t="shared" si="17"/>
        <v>0</v>
      </c>
      <c r="L48" s="66">
        <f t="shared" si="17"/>
        <v>0</v>
      </c>
      <c r="M48" s="1444">
        <f t="shared" si="17"/>
        <v>0</v>
      </c>
      <c r="N48" s="218"/>
      <c r="O48" s="77"/>
      <c r="Q48" s="397"/>
      <c r="S48" s="453"/>
      <c r="T48" s="453"/>
      <c r="U48" s="453"/>
      <c r="V48" s="453"/>
      <c r="W48" s="453"/>
    </row>
    <row r="49" spans="2:23" x14ac:dyDescent="0.2">
      <c r="B49" s="75"/>
      <c r="C49" s="187"/>
      <c r="D49" s="187" t="s">
        <v>194</v>
      </c>
      <c r="E49" s="187"/>
      <c r="F49" s="187"/>
      <c r="G49" s="66">
        <v>0</v>
      </c>
      <c r="H49" s="66">
        <v>0</v>
      </c>
      <c r="I49" s="66">
        <f t="shared" si="17"/>
        <v>0</v>
      </c>
      <c r="J49" s="66">
        <f t="shared" si="17"/>
        <v>0</v>
      </c>
      <c r="K49" s="66">
        <f t="shared" si="17"/>
        <v>0</v>
      </c>
      <c r="L49" s="66">
        <f t="shared" si="17"/>
        <v>0</v>
      </c>
      <c r="M49" s="1444">
        <f t="shared" si="17"/>
        <v>0</v>
      </c>
      <c r="N49" s="218"/>
      <c r="O49" s="77"/>
      <c r="Q49" s="397"/>
      <c r="S49" s="453"/>
      <c r="T49" s="453"/>
      <c r="U49" s="453"/>
      <c r="V49" s="453"/>
      <c r="W49" s="453"/>
    </row>
    <row r="50" spans="2:23" x14ac:dyDescent="0.2">
      <c r="B50" s="75"/>
      <c r="C50" s="187"/>
      <c r="D50" s="187" t="s">
        <v>195</v>
      </c>
      <c r="E50" s="187"/>
      <c r="F50" s="187"/>
      <c r="G50" s="66">
        <v>0</v>
      </c>
      <c r="H50" s="66">
        <v>0</v>
      </c>
      <c r="I50" s="66">
        <f t="shared" si="17"/>
        <v>0</v>
      </c>
      <c r="J50" s="66">
        <f t="shared" si="17"/>
        <v>0</v>
      </c>
      <c r="K50" s="66">
        <f t="shared" si="17"/>
        <v>0</v>
      </c>
      <c r="L50" s="66">
        <f t="shared" si="17"/>
        <v>0</v>
      </c>
      <c r="M50" s="1444">
        <f t="shared" si="17"/>
        <v>0</v>
      </c>
      <c r="N50" s="218"/>
      <c r="O50" s="77"/>
      <c r="Q50" s="397"/>
      <c r="S50" s="453"/>
      <c r="T50" s="453"/>
      <c r="U50" s="453"/>
      <c r="V50" s="453"/>
      <c r="W50" s="453"/>
    </row>
    <row r="51" spans="2:23" x14ac:dyDescent="0.2">
      <c r="B51" s="75"/>
      <c r="C51" s="187"/>
      <c r="D51" s="187" t="s">
        <v>196</v>
      </c>
      <c r="E51" s="187"/>
      <c r="F51" s="187"/>
      <c r="G51" s="66">
        <v>0</v>
      </c>
      <c r="H51" s="66">
        <v>0</v>
      </c>
      <c r="I51" s="66">
        <f t="shared" si="17"/>
        <v>0</v>
      </c>
      <c r="J51" s="66">
        <f t="shared" si="17"/>
        <v>0</v>
      </c>
      <c r="K51" s="66">
        <f t="shared" si="17"/>
        <v>0</v>
      </c>
      <c r="L51" s="66">
        <f t="shared" si="17"/>
        <v>0</v>
      </c>
      <c r="M51" s="1444">
        <f t="shared" si="17"/>
        <v>0</v>
      </c>
      <c r="N51" s="218"/>
      <c r="O51" s="77"/>
      <c r="Q51" s="397"/>
      <c r="S51" s="453"/>
      <c r="T51" s="453"/>
      <c r="U51" s="453"/>
      <c r="V51" s="453"/>
      <c r="W51" s="453"/>
    </row>
    <row r="52" spans="2:23" x14ac:dyDescent="0.2">
      <c r="B52" s="75"/>
      <c r="C52" s="187"/>
      <c r="D52" s="187" t="s">
        <v>197</v>
      </c>
      <c r="E52" s="187"/>
      <c r="F52" s="187"/>
      <c r="G52" s="66">
        <v>0</v>
      </c>
      <c r="H52" s="66">
        <v>0</v>
      </c>
      <c r="I52" s="66">
        <f t="shared" si="17"/>
        <v>0</v>
      </c>
      <c r="J52" s="66">
        <f t="shared" si="17"/>
        <v>0</v>
      </c>
      <c r="K52" s="66">
        <f t="shared" si="17"/>
        <v>0</v>
      </c>
      <c r="L52" s="66">
        <f t="shared" si="17"/>
        <v>0</v>
      </c>
      <c r="M52" s="1444">
        <f t="shared" si="17"/>
        <v>0</v>
      </c>
      <c r="N52" s="218"/>
      <c r="O52" s="77"/>
      <c r="Q52" s="397"/>
      <c r="S52" s="453"/>
      <c r="T52" s="453"/>
      <c r="U52" s="453"/>
      <c r="V52" s="453"/>
      <c r="W52" s="453"/>
    </row>
    <row r="53" spans="2:23" x14ac:dyDescent="0.2">
      <c r="B53" s="75"/>
      <c r="C53" s="187"/>
      <c r="D53" s="187" t="s">
        <v>198</v>
      </c>
      <c r="E53" s="187"/>
      <c r="F53" s="187"/>
      <c r="G53" s="66">
        <v>0</v>
      </c>
      <c r="H53" s="66">
        <v>0</v>
      </c>
      <c r="I53" s="66">
        <f t="shared" si="17"/>
        <v>0</v>
      </c>
      <c r="J53" s="66">
        <f t="shared" si="17"/>
        <v>0</v>
      </c>
      <c r="K53" s="66">
        <f t="shared" si="17"/>
        <v>0</v>
      </c>
      <c r="L53" s="66">
        <f t="shared" si="17"/>
        <v>0</v>
      </c>
      <c r="M53" s="1444">
        <f t="shared" si="17"/>
        <v>0</v>
      </c>
      <c r="N53" s="218"/>
      <c r="O53" s="77"/>
      <c r="Q53" s="397"/>
      <c r="S53" s="453"/>
      <c r="T53" s="453"/>
      <c r="U53" s="453"/>
      <c r="V53" s="453"/>
      <c r="W53" s="453"/>
    </row>
    <row r="54" spans="2:23" x14ac:dyDescent="0.2">
      <c r="B54" s="75"/>
      <c r="C54" s="187"/>
      <c r="D54" s="432"/>
      <c r="E54" s="432"/>
      <c r="F54" s="187"/>
      <c r="G54" s="540">
        <f t="shared" ref="G54:M54" si="18">SUM(G47:G53)</f>
        <v>0</v>
      </c>
      <c r="H54" s="540">
        <f t="shared" si="18"/>
        <v>0</v>
      </c>
      <c r="I54" s="540">
        <f t="shared" si="18"/>
        <v>0</v>
      </c>
      <c r="J54" s="540">
        <f t="shared" si="18"/>
        <v>0</v>
      </c>
      <c r="K54" s="540">
        <f t="shared" si="18"/>
        <v>0</v>
      </c>
      <c r="L54" s="540">
        <f t="shared" si="18"/>
        <v>0</v>
      </c>
      <c r="M54" s="540">
        <f t="shared" si="18"/>
        <v>0</v>
      </c>
      <c r="N54" s="403"/>
      <c r="O54" s="77"/>
      <c r="Q54" s="397"/>
      <c r="S54" s="453"/>
      <c r="T54" s="453"/>
      <c r="U54" s="453"/>
      <c r="V54" s="453"/>
      <c r="W54" s="453"/>
    </row>
    <row r="55" spans="2:23" x14ac:dyDescent="0.2">
      <c r="B55" s="75"/>
      <c r="C55" s="187"/>
      <c r="D55" s="187"/>
      <c r="E55" s="187"/>
      <c r="F55" s="187"/>
      <c r="G55" s="187"/>
      <c r="H55" s="187"/>
      <c r="I55" s="187"/>
      <c r="J55" s="187"/>
      <c r="K55" s="187"/>
      <c r="L55" s="187"/>
      <c r="M55" s="187"/>
      <c r="N55" s="187"/>
      <c r="O55" s="77"/>
      <c r="Q55" s="397"/>
      <c r="S55" s="453"/>
      <c r="T55" s="453"/>
      <c r="U55" s="453"/>
      <c r="V55" s="453"/>
      <c r="W55" s="453"/>
    </row>
    <row r="56" spans="2:23" x14ac:dyDescent="0.2">
      <c r="B56" s="75"/>
      <c r="C56" s="187"/>
      <c r="D56" s="578" t="s">
        <v>219</v>
      </c>
      <c r="E56" s="431"/>
      <c r="F56" s="187"/>
      <c r="G56" s="519">
        <f t="shared" ref="G56:M56" si="19">G36+G41+G45+G54</f>
        <v>27750</v>
      </c>
      <c r="H56" s="519">
        <f t="shared" si="19"/>
        <v>27750</v>
      </c>
      <c r="I56" s="519">
        <f t="shared" si="19"/>
        <v>27750</v>
      </c>
      <c r="J56" s="519">
        <f t="shared" si="19"/>
        <v>11529219.735809159</v>
      </c>
      <c r="K56" s="519">
        <f t="shared" si="19"/>
        <v>22313240.764108557</v>
      </c>
      <c r="L56" s="519">
        <f t="shared" si="19"/>
        <v>33586580.436056085</v>
      </c>
      <c r="M56" s="519">
        <f t="shared" si="19"/>
        <v>44855165.988003612</v>
      </c>
      <c r="N56" s="403"/>
      <c r="O56" s="77"/>
      <c r="Q56" s="397"/>
      <c r="S56" s="453"/>
      <c r="T56" s="453"/>
      <c r="U56" s="453"/>
      <c r="V56" s="453"/>
      <c r="W56" s="453"/>
    </row>
    <row r="57" spans="2:23" x14ac:dyDescent="0.2">
      <c r="B57" s="75"/>
      <c r="C57" s="187"/>
      <c r="D57" s="432"/>
      <c r="E57" s="432"/>
      <c r="F57" s="187"/>
      <c r="G57" s="403"/>
      <c r="H57" s="403"/>
      <c r="I57" s="403"/>
      <c r="J57" s="403"/>
      <c r="K57" s="403"/>
      <c r="L57" s="403"/>
      <c r="M57" s="403"/>
      <c r="N57" s="403"/>
      <c r="O57" s="77"/>
      <c r="Q57" s="397"/>
      <c r="S57" s="453"/>
      <c r="T57" s="453"/>
      <c r="U57" s="453"/>
      <c r="V57" s="453"/>
      <c r="W57" s="453"/>
    </row>
    <row r="58" spans="2:23" x14ac:dyDescent="0.2">
      <c r="B58" s="75"/>
      <c r="C58" s="76"/>
      <c r="D58" s="123"/>
      <c r="E58" s="123"/>
      <c r="F58" s="76"/>
      <c r="G58" s="466"/>
      <c r="H58" s="466"/>
      <c r="I58" s="466"/>
      <c r="J58" s="466"/>
      <c r="K58" s="466"/>
      <c r="L58" s="466"/>
      <c r="M58" s="466"/>
      <c r="N58" s="466"/>
      <c r="O58" s="77"/>
      <c r="Q58" s="397"/>
      <c r="S58" s="453"/>
      <c r="T58" s="453"/>
      <c r="U58" s="453"/>
      <c r="V58" s="453"/>
      <c r="W58" s="453"/>
    </row>
    <row r="59" spans="2:23" x14ac:dyDescent="0.2">
      <c r="B59" s="75"/>
      <c r="C59" s="76"/>
      <c r="D59" s="76"/>
      <c r="E59" s="76"/>
      <c r="F59" s="76"/>
      <c r="G59" s="76"/>
      <c r="H59" s="76"/>
      <c r="I59" s="76"/>
      <c r="J59" s="76"/>
      <c r="K59" s="76"/>
      <c r="L59" s="76"/>
      <c r="M59" s="76"/>
      <c r="N59" s="76"/>
      <c r="O59" s="77"/>
    </row>
    <row r="60" spans="2:23" x14ac:dyDescent="0.2">
      <c r="B60" s="75"/>
      <c r="C60" s="187"/>
      <c r="D60" s="187"/>
      <c r="E60" s="187"/>
      <c r="F60" s="187"/>
      <c r="G60" s="472"/>
      <c r="H60" s="472"/>
      <c r="I60" s="472"/>
      <c r="J60" s="472"/>
      <c r="K60" s="472"/>
      <c r="L60" s="472"/>
      <c r="M60" s="472"/>
      <c r="N60" s="472"/>
      <c r="O60" s="467"/>
    </row>
    <row r="61" spans="2:23" x14ac:dyDescent="0.2">
      <c r="B61" s="75"/>
      <c r="C61" s="187"/>
      <c r="D61" s="567" t="s">
        <v>164</v>
      </c>
      <c r="E61" s="577" t="s">
        <v>236</v>
      </c>
      <c r="F61" s="573"/>
      <c r="G61" s="577"/>
      <c r="H61" s="577">
        <f t="shared" ref="H61:M61" si="20">H8</f>
        <v>2019</v>
      </c>
      <c r="I61" s="577">
        <f t="shared" si="20"/>
        <v>2020</v>
      </c>
      <c r="J61" s="577">
        <f t="shared" si="20"/>
        <v>2021</v>
      </c>
      <c r="K61" s="577">
        <f t="shared" si="20"/>
        <v>2022</v>
      </c>
      <c r="L61" s="577">
        <f t="shared" si="20"/>
        <v>2023</v>
      </c>
      <c r="M61" s="577">
        <f t="shared" si="20"/>
        <v>2024</v>
      </c>
      <c r="N61" s="187"/>
      <c r="O61" s="467"/>
    </row>
    <row r="62" spans="2:23" x14ac:dyDescent="0.2">
      <c r="B62" s="75"/>
      <c r="C62" s="187"/>
      <c r="D62" s="187"/>
      <c r="E62" s="472"/>
      <c r="F62" s="187"/>
      <c r="G62" s="472"/>
      <c r="H62" s="472"/>
      <c r="I62" s="472"/>
      <c r="J62" s="472"/>
      <c r="K62" s="472"/>
      <c r="L62" s="472"/>
      <c r="M62" s="472"/>
      <c r="N62" s="472"/>
      <c r="O62" s="467"/>
    </row>
    <row r="63" spans="2:23" x14ac:dyDescent="0.2">
      <c r="B63" s="75"/>
      <c r="C63" s="187"/>
      <c r="D63" s="187" t="s">
        <v>165</v>
      </c>
      <c r="E63" s="812" t="s">
        <v>543</v>
      </c>
      <c r="F63" s="187"/>
      <c r="G63" s="1439"/>
      <c r="H63" s="541">
        <f t="shared" ref="H63:M63" si="21">H36/H25</f>
        <v>1</v>
      </c>
      <c r="I63" s="541">
        <f t="shared" si="21"/>
        <v>1</v>
      </c>
      <c r="J63" s="541">
        <f t="shared" si="21"/>
        <v>1</v>
      </c>
      <c r="K63" s="541">
        <f t="shared" si="21"/>
        <v>1.0000468286974109</v>
      </c>
      <c r="L63" s="541">
        <f t="shared" si="21"/>
        <v>1.0000746655350869</v>
      </c>
      <c r="M63" s="541">
        <f t="shared" si="21"/>
        <v>1.0000559079415885</v>
      </c>
      <c r="N63" s="70"/>
      <c r="O63" s="468"/>
    </row>
    <row r="64" spans="2:23" x14ac:dyDescent="0.2">
      <c r="B64" s="883"/>
      <c r="C64" s="187"/>
      <c r="D64" s="187" t="s">
        <v>702</v>
      </c>
      <c r="E64" s="812"/>
      <c r="F64" s="187"/>
      <c r="G64" s="1439"/>
      <c r="H64" s="541">
        <f t="shared" ref="H64:M64" si="22">(H32+H41)/H56</f>
        <v>1</v>
      </c>
      <c r="I64" s="541">
        <f t="shared" si="22"/>
        <v>1</v>
      </c>
      <c r="J64" s="541">
        <f t="shared" si="22"/>
        <v>1</v>
      </c>
      <c r="K64" s="541">
        <f>(K32+K41)/K56</f>
        <v>1</v>
      </c>
      <c r="L64" s="541">
        <f t="shared" si="22"/>
        <v>1</v>
      </c>
      <c r="M64" s="541">
        <f t="shared" si="22"/>
        <v>1</v>
      </c>
      <c r="N64" s="70"/>
      <c r="O64" s="468"/>
    </row>
    <row r="65" spans="2:16" x14ac:dyDescent="0.2">
      <c r="B65" s="75"/>
      <c r="C65" s="187"/>
      <c r="D65" s="187" t="s">
        <v>166</v>
      </c>
      <c r="E65" s="70" t="s">
        <v>237</v>
      </c>
      <c r="F65" s="187"/>
      <c r="G65" s="1440"/>
      <c r="H65" s="542" t="str">
        <f t="shared" ref="H65:M65" si="23">IF(H54=0,"nvt",H23/H54)</f>
        <v>nvt</v>
      </c>
      <c r="I65" s="542" t="str">
        <f t="shared" si="23"/>
        <v>nvt</v>
      </c>
      <c r="J65" s="542" t="str">
        <f t="shared" si="23"/>
        <v>nvt</v>
      </c>
      <c r="K65" s="542" t="str">
        <f t="shared" si="23"/>
        <v>nvt</v>
      </c>
      <c r="L65" s="542" t="str">
        <f t="shared" si="23"/>
        <v>nvt</v>
      </c>
      <c r="M65" s="542" t="str">
        <f t="shared" si="23"/>
        <v>nvt</v>
      </c>
      <c r="N65" s="70"/>
      <c r="O65" s="467"/>
    </row>
    <row r="66" spans="2:16" x14ac:dyDescent="0.2">
      <c r="B66" s="75"/>
      <c r="C66" s="187"/>
      <c r="D66" s="187" t="s">
        <v>226</v>
      </c>
      <c r="E66" s="813" t="s">
        <v>238</v>
      </c>
      <c r="F66" s="187"/>
      <c r="G66" s="1439"/>
      <c r="H66" s="541" t="e">
        <f>begr!G50/(begr!G23+begr!G44)</f>
        <v>#DIV/0!</v>
      </c>
      <c r="I66" s="541">
        <f>begr!H50/(begr!H23+begr!H44)</f>
        <v>0.5729698474771131</v>
      </c>
      <c r="J66" s="541">
        <f>begr!I50/(begr!I23+begr!I44)</f>
        <v>0.54911499149717191</v>
      </c>
      <c r="K66" s="541">
        <f>begr!J50/(begr!J23+begr!J44)</f>
        <v>0.56056753682964666</v>
      </c>
      <c r="L66" s="541">
        <f>begr!K50/(begr!K23+begr!K44)</f>
        <v>0.56025843721080693</v>
      </c>
      <c r="M66" s="541">
        <f>begr!K50/(begr!K43+begr!K23)</f>
        <v>0.56025843721080693</v>
      </c>
      <c r="N66" s="70"/>
      <c r="O66" s="467"/>
    </row>
    <row r="67" spans="2:16" s="208" customFormat="1" x14ac:dyDescent="0.2">
      <c r="B67" s="211"/>
      <c r="C67" s="354"/>
      <c r="D67" s="187" t="s">
        <v>190</v>
      </c>
      <c r="E67" s="814">
        <v>0.05</v>
      </c>
      <c r="F67" s="187"/>
      <c r="G67" s="1441"/>
      <c r="H67" s="1442" t="e">
        <f>H36/begr!F35</f>
        <v>#DIV/0!</v>
      </c>
      <c r="I67" s="1442" t="e">
        <f>I36/begr!G35</f>
        <v>#DIV/0!</v>
      </c>
      <c r="J67" s="1442">
        <f>J36/begr!H35</f>
        <v>1.3449923115718923</v>
      </c>
      <c r="K67" s="1442">
        <f>K36/begr!I35</f>
        <v>2.5197513656734452</v>
      </c>
      <c r="L67" s="1442">
        <f>L36/begr!J35</f>
        <v>3.8003629600217548</v>
      </c>
      <c r="M67" s="543">
        <f>M32/begr!K35</f>
        <v>5.071754599516221</v>
      </c>
      <c r="N67" s="473"/>
      <c r="O67" s="469"/>
      <c r="P67" s="451"/>
    </row>
    <row r="68" spans="2:16" s="208" customFormat="1" hidden="1" x14ac:dyDescent="0.2">
      <c r="B68" s="211"/>
      <c r="C68" s="354"/>
      <c r="D68" s="187" t="s">
        <v>239</v>
      </c>
      <c r="E68" s="814" t="s">
        <v>232</v>
      </c>
      <c r="F68" s="187"/>
      <c r="G68" s="1441"/>
      <c r="H68" s="543" t="e">
        <f>H25/(begr!#REF!+begr!#REF!)</f>
        <v>#REF!</v>
      </c>
      <c r="I68" s="543" t="e">
        <f>I25/(begr!#REF!+begr!#REF!)</f>
        <v>#REF!</v>
      </c>
      <c r="J68" s="543" t="e">
        <f>J25/(begr!#REF!+begr!#REF!)</f>
        <v>#REF!</v>
      </c>
      <c r="K68" s="543" t="e">
        <f>K25/(begr!#REF!+begr!#REF!)</f>
        <v>#REF!</v>
      </c>
      <c r="L68" s="543" t="e">
        <f>L25/(begr!#REF!+begr!#REF!)</f>
        <v>#REF!</v>
      </c>
      <c r="M68" s="543">
        <f>(M25-act!M39)/(begr!K23+begr!K43)</f>
        <v>2.2301366113271408</v>
      </c>
      <c r="N68" s="473"/>
      <c r="O68" s="469"/>
      <c r="P68" s="451"/>
    </row>
    <row r="69" spans="2:16" x14ac:dyDescent="0.2">
      <c r="B69" s="75"/>
      <c r="C69" s="187"/>
      <c r="D69" s="187"/>
      <c r="E69" s="187"/>
      <c r="F69" s="187"/>
      <c r="G69" s="187"/>
      <c r="H69" s="187"/>
      <c r="I69" s="187"/>
      <c r="J69" s="187"/>
      <c r="K69" s="187"/>
      <c r="L69" s="187"/>
      <c r="M69" s="187"/>
      <c r="N69" s="187"/>
      <c r="O69" s="77"/>
    </row>
    <row r="70" spans="2:16" x14ac:dyDescent="0.2">
      <c r="B70" s="75"/>
      <c r="C70" s="76"/>
      <c r="D70" s="76"/>
      <c r="E70" s="76"/>
      <c r="F70" s="76"/>
      <c r="G70" s="76"/>
      <c r="H70" s="76"/>
      <c r="I70" s="76"/>
      <c r="J70" s="76"/>
      <c r="K70" s="76"/>
      <c r="L70" s="76"/>
      <c r="M70" s="76"/>
      <c r="N70" s="76"/>
      <c r="O70" s="77"/>
    </row>
    <row r="71" spans="2:16" x14ac:dyDescent="0.2">
      <c r="B71" s="85"/>
      <c r="C71" s="82"/>
      <c r="D71" s="470"/>
      <c r="E71" s="470"/>
      <c r="F71" s="82"/>
      <c r="G71" s="82"/>
      <c r="H71" s="471"/>
      <c r="I71" s="471"/>
      <c r="J71" s="471"/>
      <c r="K71" s="471"/>
      <c r="L71" s="471"/>
      <c r="M71" s="471"/>
      <c r="N71" s="613" t="s">
        <v>378</v>
      </c>
      <c r="O71" s="84"/>
    </row>
    <row r="72" spans="2:16" x14ac:dyDescent="0.2">
      <c r="B72" s="190"/>
      <c r="C72" s="190"/>
      <c r="D72" s="190"/>
      <c r="E72" s="190"/>
      <c r="F72" s="190"/>
      <c r="G72" s="190"/>
      <c r="H72" s="190"/>
      <c r="I72" s="190"/>
      <c r="J72" s="190"/>
      <c r="K72" s="190"/>
      <c r="L72" s="190"/>
      <c r="M72" s="190"/>
      <c r="N72" s="190"/>
      <c r="O72" s="190"/>
    </row>
    <row r="73" spans="2:16" x14ac:dyDescent="0.2">
      <c r="B73" s="190"/>
      <c r="C73" s="190"/>
      <c r="D73" s="190"/>
      <c r="E73" s="190"/>
      <c r="F73" s="190"/>
      <c r="G73" s="190"/>
      <c r="H73" s="190"/>
      <c r="I73" s="190"/>
      <c r="J73" s="190"/>
      <c r="K73" s="190"/>
      <c r="L73" s="190"/>
      <c r="M73" s="190"/>
      <c r="N73" s="190"/>
      <c r="O73" s="190"/>
    </row>
    <row r="74" spans="2:16" s="8" customFormat="1" ht="18.75" x14ac:dyDescent="0.3">
      <c r="B74" s="190"/>
      <c r="C74" s="190"/>
      <c r="D74" s="190"/>
      <c r="E74" s="190"/>
      <c r="F74" s="190"/>
      <c r="G74" s="190"/>
      <c r="H74" s="190"/>
      <c r="I74" s="190"/>
      <c r="J74" s="190"/>
      <c r="K74" s="190"/>
      <c r="L74" s="190"/>
      <c r="M74" s="190"/>
      <c r="N74" s="190"/>
      <c r="O74" s="190"/>
      <c r="P74" s="454"/>
    </row>
    <row r="75" spans="2:16" x14ac:dyDescent="0.2">
      <c r="B75" s="190"/>
      <c r="C75" s="190"/>
      <c r="D75" s="190"/>
      <c r="E75" s="190"/>
      <c r="F75" s="190"/>
      <c r="G75" s="190"/>
      <c r="H75" s="190"/>
      <c r="I75" s="190"/>
      <c r="J75" s="190"/>
      <c r="K75" s="190"/>
      <c r="L75" s="190"/>
      <c r="M75" s="190"/>
      <c r="N75" s="190"/>
      <c r="O75" s="190"/>
    </row>
    <row r="76" spans="2:16" x14ac:dyDescent="0.2">
      <c r="B76" s="190"/>
      <c r="C76" s="190"/>
      <c r="D76" s="190"/>
      <c r="E76" s="190"/>
      <c r="F76" s="190"/>
      <c r="G76" s="190"/>
      <c r="H76" s="190"/>
      <c r="I76" s="190"/>
      <c r="J76" s="190"/>
      <c r="K76" s="190"/>
      <c r="L76" s="190"/>
      <c r="M76" s="190"/>
      <c r="N76" s="190"/>
      <c r="O76" s="190"/>
    </row>
    <row r="77" spans="2:16" x14ac:dyDescent="0.2">
      <c r="B77" s="190"/>
      <c r="C77" s="190"/>
      <c r="D77" s="190"/>
      <c r="E77" s="190"/>
      <c r="F77" s="190"/>
      <c r="G77" s="190"/>
      <c r="H77" s="190"/>
      <c r="I77" s="190"/>
      <c r="J77" s="190"/>
      <c r="K77" s="190"/>
      <c r="L77" s="190"/>
      <c r="M77" s="190"/>
      <c r="N77" s="190"/>
      <c r="O77" s="190"/>
    </row>
    <row r="78" spans="2:16" x14ac:dyDescent="0.2">
      <c r="B78" s="190"/>
      <c r="C78" s="190"/>
      <c r="D78" s="190"/>
      <c r="E78" s="190"/>
      <c r="F78" s="190"/>
      <c r="G78" s="190"/>
      <c r="H78" s="190"/>
      <c r="I78" s="190"/>
      <c r="J78" s="190"/>
      <c r="K78" s="190"/>
      <c r="L78" s="190"/>
      <c r="M78" s="190"/>
      <c r="N78" s="190"/>
      <c r="O78" s="190"/>
    </row>
    <row r="79" spans="2:16" s="113" customFormat="1" x14ac:dyDescent="0.2">
      <c r="B79" s="192"/>
      <c r="C79" s="192"/>
      <c r="D79" s="192"/>
      <c r="E79" s="192"/>
      <c r="F79" s="192"/>
      <c r="G79" s="192"/>
      <c r="H79" s="192"/>
      <c r="I79" s="192"/>
      <c r="J79" s="192"/>
      <c r="K79" s="192"/>
      <c r="L79" s="192"/>
      <c r="M79" s="192"/>
      <c r="N79" s="192"/>
      <c r="O79" s="192"/>
      <c r="P79" s="455"/>
    </row>
    <row r="80" spans="2:16" x14ac:dyDescent="0.2">
      <c r="B80" s="190"/>
      <c r="C80" s="190"/>
      <c r="D80" s="190"/>
      <c r="E80" s="190"/>
      <c r="F80" s="190"/>
      <c r="G80" s="190"/>
      <c r="H80" s="190"/>
      <c r="I80" s="190"/>
      <c r="J80" s="190"/>
      <c r="K80" s="190"/>
      <c r="L80" s="190"/>
      <c r="M80" s="190"/>
      <c r="N80" s="190"/>
      <c r="O80" s="190"/>
    </row>
    <row r="81" spans="2:16" x14ac:dyDescent="0.2">
      <c r="B81" s="190"/>
      <c r="C81" s="190"/>
      <c r="D81" s="190"/>
      <c r="E81" s="190"/>
      <c r="F81" s="190"/>
      <c r="G81" s="190"/>
      <c r="H81" s="190"/>
      <c r="I81" s="190"/>
      <c r="J81" s="190"/>
      <c r="K81" s="190"/>
      <c r="L81" s="190"/>
      <c r="M81" s="190"/>
      <c r="N81" s="190"/>
      <c r="O81" s="190"/>
    </row>
    <row r="82" spans="2:16" x14ac:dyDescent="0.2">
      <c r="B82" s="190"/>
      <c r="C82" s="190"/>
      <c r="D82" s="190"/>
      <c r="E82" s="190"/>
      <c r="F82" s="190"/>
      <c r="G82" s="190"/>
      <c r="H82" s="190"/>
      <c r="I82" s="190"/>
      <c r="J82" s="190"/>
      <c r="K82" s="190"/>
      <c r="L82" s="190"/>
      <c r="M82" s="190"/>
      <c r="N82" s="190"/>
      <c r="O82" s="190"/>
    </row>
    <row r="83" spans="2:16" x14ac:dyDescent="0.2">
      <c r="B83" s="190"/>
      <c r="C83" s="190"/>
      <c r="D83" s="190"/>
      <c r="E83" s="190"/>
      <c r="F83" s="190"/>
      <c r="G83" s="190"/>
      <c r="H83" s="190"/>
      <c r="I83" s="190"/>
      <c r="J83" s="190"/>
      <c r="K83" s="190"/>
      <c r="L83" s="190"/>
      <c r="M83" s="190"/>
      <c r="N83" s="190"/>
      <c r="O83" s="190"/>
    </row>
    <row r="84" spans="2:16" s="113" customFormat="1" x14ac:dyDescent="0.2">
      <c r="B84" s="192"/>
      <c r="C84" s="192"/>
      <c r="D84" s="192"/>
      <c r="E84" s="192"/>
      <c r="F84" s="192"/>
      <c r="G84" s="192"/>
      <c r="H84" s="192"/>
      <c r="I84" s="192"/>
      <c r="J84" s="192"/>
      <c r="K84" s="192"/>
      <c r="L84" s="192"/>
      <c r="M84" s="192"/>
      <c r="N84" s="192"/>
      <c r="O84" s="192"/>
      <c r="P84" s="455"/>
    </row>
    <row r="85" spans="2:16" x14ac:dyDescent="0.2">
      <c r="B85" s="190"/>
      <c r="C85" s="190"/>
      <c r="D85" s="190"/>
      <c r="E85" s="190"/>
      <c r="F85" s="190"/>
      <c r="G85" s="190"/>
      <c r="H85" s="190"/>
      <c r="I85" s="190"/>
      <c r="J85" s="190"/>
      <c r="K85" s="190"/>
      <c r="L85" s="190"/>
      <c r="M85" s="190"/>
      <c r="N85" s="190"/>
      <c r="O85" s="190"/>
    </row>
    <row r="86" spans="2:16" x14ac:dyDescent="0.2">
      <c r="B86" s="190"/>
      <c r="C86" s="190"/>
      <c r="D86" s="190"/>
      <c r="E86" s="190"/>
      <c r="F86" s="190"/>
      <c r="G86" s="190"/>
      <c r="H86" s="190"/>
      <c r="I86" s="190"/>
      <c r="J86" s="190"/>
      <c r="K86" s="190"/>
      <c r="L86" s="190"/>
      <c r="M86" s="190"/>
      <c r="N86" s="190"/>
      <c r="O86" s="190"/>
    </row>
    <row r="87" spans="2:16" x14ac:dyDescent="0.2">
      <c r="B87" s="190"/>
      <c r="C87" s="190"/>
      <c r="D87" s="190"/>
      <c r="E87" s="190"/>
      <c r="F87" s="190"/>
      <c r="G87" s="190"/>
      <c r="H87" s="190"/>
      <c r="I87" s="190"/>
      <c r="J87" s="190"/>
      <c r="K87" s="190"/>
      <c r="L87" s="190"/>
      <c r="M87" s="190"/>
      <c r="N87" s="190"/>
      <c r="O87" s="190"/>
    </row>
    <row r="88" spans="2:16" x14ac:dyDescent="0.2">
      <c r="B88" s="190"/>
      <c r="C88" s="190"/>
      <c r="D88" s="190"/>
      <c r="E88" s="190"/>
      <c r="F88" s="190"/>
      <c r="G88" s="190"/>
      <c r="H88" s="190"/>
      <c r="I88" s="190"/>
      <c r="J88" s="190"/>
      <c r="K88" s="190"/>
      <c r="L88" s="190"/>
      <c r="M88" s="190"/>
      <c r="N88" s="190"/>
      <c r="O88" s="190"/>
    </row>
    <row r="89" spans="2:16" s="113" customFormat="1" x14ac:dyDescent="0.2">
      <c r="B89" s="192"/>
      <c r="C89" s="192"/>
      <c r="D89" s="192"/>
      <c r="E89" s="192"/>
      <c r="F89" s="192"/>
      <c r="G89" s="192"/>
      <c r="H89" s="192"/>
      <c r="I89" s="192"/>
      <c r="J89" s="192"/>
      <c r="K89" s="192"/>
      <c r="L89" s="192"/>
      <c r="M89" s="192"/>
      <c r="N89" s="192"/>
      <c r="O89" s="192"/>
      <c r="P89" s="455"/>
    </row>
    <row r="90" spans="2:16" x14ac:dyDescent="0.2">
      <c r="B90" s="190"/>
      <c r="C90" s="190"/>
      <c r="D90" s="190"/>
      <c r="E90" s="190"/>
      <c r="F90" s="190"/>
      <c r="G90" s="190"/>
      <c r="H90" s="190"/>
      <c r="I90" s="190"/>
      <c r="J90" s="190"/>
      <c r="K90" s="190"/>
      <c r="L90" s="190"/>
      <c r="M90" s="190"/>
      <c r="N90" s="190"/>
      <c r="O90" s="190"/>
    </row>
    <row r="91" spans="2:16" x14ac:dyDescent="0.2">
      <c r="B91" s="190"/>
      <c r="C91" s="190"/>
      <c r="D91" s="190"/>
      <c r="E91" s="190"/>
      <c r="F91" s="190"/>
      <c r="G91" s="190"/>
      <c r="H91" s="190"/>
      <c r="I91" s="190"/>
      <c r="J91" s="190"/>
      <c r="K91" s="190"/>
      <c r="L91" s="190"/>
      <c r="M91" s="190"/>
      <c r="N91" s="190"/>
      <c r="O91" s="190"/>
    </row>
    <row r="92" spans="2:16" x14ac:dyDescent="0.2">
      <c r="B92" s="190"/>
      <c r="C92" s="190"/>
      <c r="D92" s="190"/>
      <c r="E92" s="190"/>
      <c r="F92" s="190"/>
      <c r="G92" s="190"/>
      <c r="H92" s="190"/>
      <c r="I92" s="190"/>
      <c r="J92" s="190"/>
      <c r="K92" s="190"/>
      <c r="L92" s="190"/>
      <c r="M92" s="190"/>
      <c r="N92" s="190"/>
      <c r="O92" s="190"/>
    </row>
    <row r="93" spans="2:16" x14ac:dyDescent="0.2">
      <c r="B93" s="190"/>
      <c r="C93" s="190"/>
      <c r="D93" s="190"/>
      <c r="E93" s="190"/>
      <c r="F93" s="190"/>
      <c r="G93" s="190"/>
      <c r="H93" s="190"/>
      <c r="I93" s="190"/>
      <c r="J93" s="190"/>
      <c r="K93" s="190"/>
      <c r="L93" s="190"/>
      <c r="M93" s="190"/>
      <c r="N93" s="190"/>
      <c r="O93" s="190"/>
    </row>
    <row r="94" spans="2:16" s="113" customFormat="1" x14ac:dyDescent="0.2">
      <c r="B94" s="192"/>
      <c r="C94" s="192"/>
      <c r="D94" s="192"/>
      <c r="E94" s="192"/>
      <c r="F94" s="192"/>
      <c r="G94" s="192"/>
      <c r="H94" s="192"/>
      <c r="I94" s="192"/>
      <c r="J94" s="192"/>
      <c r="K94" s="192"/>
      <c r="L94" s="192"/>
      <c r="M94" s="192"/>
      <c r="N94" s="192"/>
      <c r="O94" s="192"/>
      <c r="P94" s="455"/>
    </row>
    <row r="95" spans="2:16" x14ac:dyDescent="0.2">
      <c r="B95" s="190"/>
      <c r="C95" s="190"/>
      <c r="D95" s="190"/>
      <c r="E95" s="190"/>
      <c r="F95" s="190"/>
      <c r="G95" s="190"/>
      <c r="H95" s="190"/>
      <c r="I95" s="190"/>
      <c r="J95" s="190"/>
      <c r="K95" s="190"/>
      <c r="L95" s="190"/>
      <c r="M95" s="190"/>
      <c r="N95" s="190"/>
      <c r="O95" s="190"/>
    </row>
    <row r="96" spans="2:16" x14ac:dyDescent="0.2">
      <c r="B96" s="190"/>
      <c r="C96" s="190"/>
      <c r="D96" s="190"/>
      <c r="E96" s="190"/>
      <c r="F96" s="190"/>
      <c r="G96" s="190"/>
      <c r="H96" s="190"/>
      <c r="I96" s="190"/>
      <c r="J96" s="190"/>
      <c r="K96" s="190"/>
      <c r="L96" s="190"/>
      <c r="M96" s="190"/>
      <c r="N96" s="190"/>
      <c r="O96" s="190"/>
    </row>
    <row r="97" spans="2:16" x14ac:dyDescent="0.2">
      <c r="B97" s="190"/>
      <c r="C97" s="190"/>
      <c r="D97" s="190"/>
      <c r="E97" s="190"/>
      <c r="F97" s="190"/>
      <c r="G97" s="190"/>
      <c r="H97" s="190"/>
      <c r="I97" s="190"/>
      <c r="J97" s="190"/>
      <c r="K97" s="190"/>
      <c r="L97" s="190"/>
      <c r="M97" s="190"/>
      <c r="N97" s="190"/>
      <c r="O97" s="190"/>
    </row>
    <row r="98" spans="2:16" x14ac:dyDescent="0.2">
      <c r="B98" s="190"/>
      <c r="C98" s="190"/>
      <c r="D98" s="190"/>
      <c r="E98" s="190"/>
      <c r="F98" s="190"/>
      <c r="G98" s="190"/>
      <c r="H98" s="190"/>
      <c r="I98" s="190"/>
      <c r="J98" s="190"/>
      <c r="K98" s="190"/>
      <c r="L98" s="190"/>
      <c r="M98" s="190"/>
      <c r="N98" s="190"/>
      <c r="O98" s="190"/>
    </row>
    <row r="99" spans="2:16" s="113" customFormat="1" x14ac:dyDescent="0.2">
      <c r="B99" s="192"/>
      <c r="C99" s="192"/>
      <c r="D99" s="192"/>
      <c r="E99" s="192"/>
      <c r="F99" s="192"/>
      <c r="G99" s="192"/>
      <c r="H99" s="192"/>
      <c r="I99" s="192"/>
      <c r="J99" s="192"/>
      <c r="K99" s="192"/>
      <c r="L99" s="192"/>
      <c r="M99" s="192"/>
      <c r="N99" s="192"/>
      <c r="O99" s="192"/>
      <c r="P99" s="455"/>
    </row>
    <row r="100" spans="2:16" x14ac:dyDescent="0.2">
      <c r="B100" s="190"/>
      <c r="C100" s="190"/>
      <c r="D100" s="190"/>
      <c r="E100" s="190"/>
      <c r="F100" s="190"/>
      <c r="G100" s="190"/>
      <c r="H100" s="190"/>
      <c r="I100" s="190"/>
      <c r="J100" s="190"/>
      <c r="K100" s="190"/>
      <c r="L100" s="190"/>
      <c r="M100" s="190"/>
      <c r="N100" s="190"/>
      <c r="O100" s="190"/>
    </row>
    <row r="101" spans="2:16" x14ac:dyDescent="0.2">
      <c r="B101" s="190"/>
      <c r="C101" s="190"/>
      <c r="D101" s="190"/>
      <c r="E101" s="190"/>
      <c r="F101" s="190"/>
      <c r="G101" s="190"/>
      <c r="H101" s="190"/>
      <c r="I101" s="190"/>
      <c r="J101" s="190"/>
      <c r="K101" s="190"/>
      <c r="L101" s="190"/>
      <c r="M101" s="190"/>
      <c r="N101" s="190"/>
      <c r="O101" s="190"/>
    </row>
    <row r="102" spans="2:16" x14ac:dyDescent="0.2">
      <c r="B102" s="190"/>
      <c r="C102" s="190"/>
      <c r="D102" s="190"/>
      <c r="E102" s="190"/>
      <c r="F102" s="190"/>
      <c r="G102" s="190"/>
      <c r="H102" s="190"/>
      <c r="I102" s="190"/>
      <c r="J102" s="190"/>
      <c r="K102" s="190"/>
      <c r="L102" s="190"/>
      <c r="M102" s="190"/>
      <c r="N102" s="190"/>
      <c r="O102" s="190"/>
    </row>
    <row r="103" spans="2:16" x14ac:dyDescent="0.2">
      <c r="B103" s="190"/>
      <c r="C103" s="190"/>
      <c r="D103" s="190"/>
      <c r="E103" s="190"/>
      <c r="F103" s="190"/>
      <c r="G103" s="190"/>
      <c r="H103" s="190"/>
      <c r="I103" s="190"/>
      <c r="J103" s="190"/>
      <c r="K103" s="190"/>
      <c r="L103" s="190"/>
      <c r="M103" s="190"/>
      <c r="N103" s="190"/>
      <c r="O103" s="190"/>
    </row>
    <row r="104" spans="2:16" s="113" customFormat="1" x14ac:dyDescent="0.2">
      <c r="B104" s="192"/>
      <c r="C104" s="192"/>
      <c r="D104" s="192"/>
      <c r="E104" s="192"/>
      <c r="F104" s="192"/>
      <c r="G104" s="192"/>
      <c r="H104" s="192"/>
      <c r="I104" s="192"/>
      <c r="J104" s="192"/>
      <c r="K104" s="192"/>
      <c r="L104" s="192"/>
      <c r="M104" s="192"/>
      <c r="N104" s="192"/>
      <c r="O104" s="192"/>
      <c r="P104" s="455"/>
    </row>
    <row r="105" spans="2:16" x14ac:dyDescent="0.2">
      <c r="B105" s="190"/>
      <c r="C105" s="190"/>
      <c r="D105" s="190"/>
      <c r="E105" s="190"/>
      <c r="F105" s="190"/>
      <c r="G105" s="190"/>
      <c r="H105" s="190"/>
      <c r="I105" s="190"/>
      <c r="J105" s="190"/>
      <c r="K105" s="190"/>
      <c r="L105" s="190"/>
      <c r="M105" s="190"/>
      <c r="N105" s="190"/>
      <c r="O105" s="190"/>
    </row>
    <row r="106" spans="2:16" x14ac:dyDescent="0.2">
      <c r="B106" s="190"/>
      <c r="C106" s="190"/>
      <c r="D106" s="190"/>
      <c r="E106" s="190"/>
      <c r="F106" s="190"/>
      <c r="G106" s="190"/>
      <c r="H106" s="190"/>
      <c r="I106" s="190"/>
      <c r="J106" s="190"/>
      <c r="K106" s="190"/>
      <c r="L106" s="190"/>
      <c r="M106" s="190"/>
      <c r="N106" s="190"/>
      <c r="O106" s="190"/>
    </row>
    <row r="107" spans="2:16" x14ac:dyDescent="0.2">
      <c r="B107" s="190"/>
      <c r="C107" s="190"/>
      <c r="D107" s="190"/>
      <c r="E107" s="190"/>
      <c r="F107" s="190"/>
      <c r="G107" s="190"/>
      <c r="H107" s="190"/>
      <c r="I107" s="190"/>
      <c r="J107" s="190"/>
      <c r="K107" s="190"/>
      <c r="L107" s="190"/>
      <c r="M107" s="190"/>
      <c r="N107" s="190"/>
      <c r="O107" s="190"/>
    </row>
    <row r="108" spans="2:16" x14ac:dyDescent="0.2">
      <c r="B108" s="190"/>
      <c r="C108" s="190"/>
      <c r="D108" s="190"/>
      <c r="E108" s="190"/>
      <c r="F108" s="190"/>
      <c r="G108" s="190"/>
      <c r="H108" s="190"/>
      <c r="I108" s="190"/>
      <c r="J108" s="190"/>
      <c r="K108" s="190"/>
      <c r="L108" s="190"/>
      <c r="M108" s="190"/>
      <c r="N108" s="190"/>
      <c r="O108" s="190"/>
    </row>
    <row r="109" spans="2:16" x14ac:dyDescent="0.2">
      <c r="B109" s="190"/>
      <c r="C109" s="190"/>
      <c r="D109" s="190"/>
      <c r="E109" s="190"/>
      <c r="F109" s="190"/>
      <c r="G109" s="190"/>
      <c r="H109" s="190"/>
      <c r="I109" s="190"/>
      <c r="J109" s="190"/>
      <c r="K109" s="190"/>
      <c r="L109" s="190"/>
      <c r="M109" s="190"/>
      <c r="N109" s="190"/>
      <c r="O109" s="190"/>
    </row>
    <row r="110" spans="2:16" x14ac:dyDescent="0.2">
      <c r="B110" s="190"/>
      <c r="C110" s="190"/>
      <c r="D110" s="190"/>
      <c r="E110" s="190"/>
      <c r="F110" s="190"/>
      <c r="G110" s="190"/>
      <c r="H110" s="190"/>
      <c r="I110" s="190"/>
      <c r="J110" s="190"/>
      <c r="K110" s="190"/>
      <c r="L110" s="190"/>
      <c r="M110" s="190"/>
      <c r="N110" s="190"/>
      <c r="O110" s="190"/>
    </row>
    <row r="111" spans="2:16" x14ac:dyDescent="0.2">
      <c r="B111" s="190"/>
      <c r="C111" s="190"/>
      <c r="D111" s="190"/>
      <c r="E111" s="190"/>
      <c r="F111" s="190"/>
      <c r="G111" s="190"/>
      <c r="H111" s="190"/>
      <c r="I111" s="190"/>
      <c r="J111" s="190"/>
      <c r="K111" s="190"/>
      <c r="L111" s="190"/>
      <c r="M111" s="190"/>
      <c r="N111" s="190"/>
      <c r="O111" s="190"/>
    </row>
    <row r="112" spans="2:16" x14ac:dyDescent="0.2">
      <c r="B112" s="190"/>
      <c r="C112" s="190"/>
      <c r="D112" s="190"/>
      <c r="E112" s="190"/>
      <c r="F112" s="190"/>
      <c r="G112" s="190"/>
      <c r="H112" s="190"/>
      <c r="I112" s="190"/>
      <c r="J112" s="190"/>
      <c r="K112" s="190"/>
      <c r="L112" s="190"/>
      <c r="M112" s="190"/>
      <c r="N112" s="190"/>
      <c r="O112" s="190"/>
    </row>
    <row r="113" spans="2:16" x14ac:dyDescent="0.2">
      <c r="B113" s="190"/>
      <c r="C113" s="190"/>
      <c r="D113" s="190"/>
      <c r="E113" s="190"/>
      <c r="F113" s="190"/>
      <c r="G113" s="190"/>
      <c r="H113" s="190"/>
      <c r="I113" s="190"/>
      <c r="J113" s="190"/>
      <c r="K113" s="190"/>
      <c r="L113" s="190"/>
      <c r="M113" s="190"/>
      <c r="N113" s="190"/>
      <c r="O113" s="190"/>
    </row>
    <row r="115" spans="2:16" s="113" customFormat="1" x14ac:dyDescent="0.2">
      <c r="H115" s="116"/>
      <c r="I115" s="116"/>
      <c r="J115" s="116"/>
      <c r="K115" s="116"/>
      <c r="L115" s="116"/>
      <c r="M115" s="116"/>
      <c r="N115" s="116"/>
      <c r="P115" s="455"/>
    </row>
    <row r="120" spans="2:16" s="113" customFormat="1" x14ac:dyDescent="0.2">
      <c r="H120" s="116"/>
      <c r="I120" s="116"/>
      <c r="J120" s="116"/>
      <c r="K120" s="116"/>
      <c r="L120" s="116"/>
      <c r="M120" s="116"/>
      <c r="N120" s="116"/>
      <c r="P120" s="455"/>
    </row>
    <row r="125" spans="2:16" s="113" customFormat="1" x14ac:dyDescent="0.2">
      <c r="H125" s="116"/>
      <c r="I125" s="116"/>
      <c r="J125" s="116"/>
      <c r="K125" s="116"/>
      <c r="L125" s="116"/>
      <c r="M125" s="116"/>
      <c r="N125" s="116"/>
      <c r="P125" s="455"/>
    </row>
    <row r="130" spans="4:16" s="113" customFormat="1" x14ac:dyDescent="0.2">
      <c r="H130" s="116"/>
      <c r="I130" s="116"/>
      <c r="J130" s="116"/>
      <c r="K130" s="116"/>
      <c r="L130" s="116"/>
      <c r="M130" s="116"/>
      <c r="N130" s="116"/>
      <c r="P130" s="455"/>
    </row>
    <row r="135" spans="4:16" s="113" customFormat="1" x14ac:dyDescent="0.2">
      <c r="H135" s="116"/>
      <c r="I135" s="116"/>
      <c r="J135" s="116"/>
      <c r="K135" s="116"/>
      <c r="L135" s="116"/>
      <c r="M135" s="116"/>
      <c r="N135" s="116"/>
      <c r="P135" s="455"/>
    </row>
    <row r="138" spans="4:16" x14ac:dyDescent="0.2">
      <c r="D138" s="113"/>
      <c r="E138" s="113"/>
      <c r="F138" s="113"/>
      <c r="G138" s="113"/>
      <c r="H138" s="116"/>
      <c r="I138" s="116"/>
      <c r="J138" s="116"/>
    </row>
    <row r="139" spans="4:16" x14ac:dyDescent="0.2">
      <c r="D139" s="113"/>
      <c r="E139" s="113"/>
      <c r="F139" s="113"/>
      <c r="G139" s="113"/>
      <c r="H139" s="116"/>
      <c r="I139" s="116"/>
      <c r="J139" s="116"/>
    </row>
    <row r="140" spans="4:16" s="113" customFormat="1" x14ac:dyDescent="0.2">
      <c r="H140" s="116"/>
      <c r="I140" s="116"/>
      <c r="J140" s="116"/>
      <c r="K140" s="116"/>
      <c r="L140" s="116"/>
      <c r="M140" s="116"/>
      <c r="N140" s="116"/>
      <c r="P140" s="455"/>
    </row>
  </sheetData>
  <sheetProtection algorithmName="SHA-512" hashValue="rLE1WDwh7G4em99iQj2EwRv/pmHhHN68ZhUi6QPADN6PHnKv7WW75HoPviduLmGwyILOC03d91GBNzjVS8Kesw==" saltValue="Q5DW4Yj9TjamxvrWSX2ImQ==" spinCount="100000" sheet="1" objects="1" scenarios="1"/>
  <phoneticPr fontId="0" type="noConversion"/>
  <hyperlinks>
    <hyperlink ref="N71" r:id="rId1" xr:uid="{00000000-0004-0000-0C00-000000000000}"/>
  </hyperlinks>
  <pageMargins left="0.75" right="0.75" top="1" bottom="1" header="0.5" footer="0.5"/>
  <pageSetup paperSize="9" scale="50"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5" max="1048575" man="1"/>
  </colBreaks>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R55"/>
  <sheetViews>
    <sheetView topLeftCell="A13" zoomScale="85" zoomScaleNormal="85" workbookViewId="0">
      <selection activeCell="B2" sqref="B2"/>
    </sheetView>
  </sheetViews>
  <sheetFormatPr defaultRowHeight="12.75" x14ac:dyDescent="0.2"/>
  <cols>
    <col min="1" max="1" width="3.7109375" style="474" customWidth="1"/>
    <col min="2" max="3" width="2.7109375" style="474" customWidth="1"/>
    <col min="4" max="4" width="45.7109375" style="474" customWidth="1"/>
    <col min="5" max="6" width="2.7109375" style="475" customWidth="1"/>
    <col min="7" max="7" width="3.28515625" style="475" customWidth="1"/>
    <col min="8" max="12" width="16.85546875" style="475" customWidth="1"/>
    <col min="13" max="13" width="2.7109375" style="475" customWidth="1"/>
    <col min="14" max="14" width="2.7109375" style="474" customWidth="1"/>
    <col min="15" max="15" width="2.7109375" style="476" customWidth="1"/>
    <col min="16" max="16" width="2.7109375" style="474" customWidth="1"/>
    <col min="17" max="17" width="2.5703125" style="474" customWidth="1"/>
    <col min="18" max="22" width="10.7109375" style="474" customWidth="1"/>
    <col min="23" max="23" width="2.7109375" style="474" customWidth="1"/>
    <col min="24" max="16384" width="9.140625" style="474"/>
  </cols>
  <sheetData>
    <row r="1" spans="2:15" ht="12" customHeight="1" x14ac:dyDescent="0.2"/>
    <row r="2" spans="2:15" x14ac:dyDescent="0.2">
      <c r="B2" s="71"/>
      <c r="C2" s="72"/>
      <c r="D2" s="72"/>
      <c r="E2" s="73"/>
      <c r="F2" s="73"/>
      <c r="G2" s="73"/>
      <c r="H2" s="73"/>
      <c r="I2" s="73"/>
      <c r="J2" s="73"/>
      <c r="K2" s="948"/>
      <c r="L2" s="948"/>
      <c r="M2" s="73"/>
      <c r="N2" s="74"/>
    </row>
    <row r="3" spans="2:15" x14ac:dyDescent="0.2">
      <c r="B3" s="75"/>
      <c r="C3" s="76"/>
      <c r="D3" s="76"/>
      <c r="E3" s="69"/>
      <c r="F3" s="69"/>
      <c r="G3" s="69"/>
      <c r="H3" s="69"/>
      <c r="I3" s="69"/>
      <c r="J3" s="69"/>
      <c r="K3" s="69"/>
      <c r="L3" s="69"/>
      <c r="M3" s="69"/>
      <c r="N3" s="77"/>
    </row>
    <row r="4" spans="2:15" s="480" customFormat="1" ht="18.75" x14ac:dyDescent="0.3">
      <c r="B4" s="477"/>
      <c r="C4" s="596" t="s">
        <v>49</v>
      </c>
      <c r="D4" s="212"/>
      <c r="E4" s="478"/>
      <c r="F4" s="478"/>
      <c r="G4" s="478"/>
      <c r="H4" s="478"/>
      <c r="I4" s="478"/>
      <c r="J4" s="478"/>
      <c r="K4" s="478"/>
      <c r="L4" s="478"/>
      <c r="M4" s="478"/>
      <c r="N4" s="213"/>
      <c r="O4" s="479"/>
    </row>
    <row r="5" spans="2:15" s="482" customFormat="1" ht="18.75" x14ac:dyDescent="0.3">
      <c r="B5" s="458"/>
      <c r="C5" s="1361" t="str">
        <f>'geg ll'!C5</f>
        <v>Voorbeeld SWV VO Alkmaar</v>
      </c>
      <c r="D5" s="57"/>
      <c r="E5" s="86"/>
      <c r="F5" s="86"/>
      <c r="G5" s="86"/>
      <c r="H5" s="86"/>
      <c r="I5" s="86"/>
      <c r="J5" s="86"/>
      <c r="K5" s="86"/>
      <c r="L5" s="86"/>
      <c r="M5" s="86"/>
      <c r="N5" s="88"/>
      <c r="O5" s="481"/>
    </row>
    <row r="6" spans="2:15" x14ac:dyDescent="0.2">
      <c r="B6" s="29"/>
      <c r="C6" s="459"/>
      <c r="D6" s="76"/>
      <c r="E6" s="69"/>
      <c r="F6" s="69"/>
      <c r="G6" s="69"/>
      <c r="H6" s="69"/>
      <c r="I6" s="69"/>
      <c r="J6" s="69"/>
      <c r="K6" s="69"/>
      <c r="L6" s="69"/>
      <c r="M6" s="69"/>
      <c r="N6" s="77"/>
    </row>
    <row r="7" spans="2:15" x14ac:dyDescent="0.2">
      <c r="B7" s="29"/>
      <c r="C7" s="459"/>
      <c r="D7" s="76"/>
      <c r="E7" s="69"/>
      <c r="F7" s="69"/>
      <c r="G7" s="69"/>
      <c r="H7" s="69"/>
      <c r="I7" s="69"/>
      <c r="J7" s="69"/>
      <c r="K7" s="69"/>
      <c r="L7" s="69"/>
      <c r="M7" s="69"/>
      <c r="N7" s="77"/>
    </row>
    <row r="8" spans="2:15" s="480" customFormat="1" x14ac:dyDescent="0.2">
      <c r="B8" s="461"/>
      <c r="C8" s="462"/>
      <c r="D8" s="483"/>
      <c r="E8" s="464"/>
      <c r="F8" s="560"/>
      <c r="G8" s="560"/>
      <c r="H8" s="560">
        <f>tab!G4</f>
        <v>2020</v>
      </c>
      <c r="I8" s="560">
        <f>tab!H4</f>
        <v>2021</v>
      </c>
      <c r="J8" s="560">
        <f>tab!I4</f>
        <v>2022</v>
      </c>
      <c r="K8" s="560">
        <f>tab!J4</f>
        <v>2023</v>
      </c>
      <c r="L8" s="560">
        <f>tab!K4</f>
        <v>2024</v>
      </c>
      <c r="M8" s="464"/>
      <c r="N8" s="213"/>
      <c r="O8" s="479"/>
    </row>
    <row r="9" spans="2:15" x14ac:dyDescent="0.2">
      <c r="B9" s="79"/>
      <c r="C9" s="56"/>
      <c r="D9" s="55"/>
      <c r="E9" s="53"/>
      <c r="F9" s="53"/>
      <c r="G9" s="53"/>
      <c r="H9" s="53"/>
      <c r="I9" s="53"/>
      <c r="J9" s="53"/>
      <c r="K9" s="53"/>
      <c r="L9" s="53"/>
      <c r="M9" s="53"/>
      <c r="N9" s="77"/>
    </row>
    <row r="10" spans="2:15" x14ac:dyDescent="0.2">
      <c r="B10" s="75"/>
      <c r="C10" s="484"/>
      <c r="D10" s="485"/>
      <c r="E10" s="78"/>
      <c r="F10" s="857"/>
      <c r="G10" s="857"/>
      <c r="H10" s="78"/>
      <c r="I10" s="78"/>
      <c r="J10" s="78"/>
      <c r="K10" s="78"/>
      <c r="L10" s="78"/>
      <c r="M10" s="89"/>
      <c r="N10" s="77"/>
    </row>
    <row r="11" spans="2:15" s="490" customFormat="1" x14ac:dyDescent="0.2">
      <c r="B11" s="79"/>
      <c r="C11" s="486"/>
      <c r="D11" s="185" t="s">
        <v>805</v>
      </c>
      <c r="E11" s="197"/>
      <c r="F11" s="1597"/>
      <c r="G11" s="1597"/>
      <c r="H11" s="487">
        <f>bal!I22</f>
        <v>0</v>
      </c>
      <c r="I11" s="487">
        <f>bal!J22</f>
        <v>11515344.735809159</v>
      </c>
      <c r="J11" s="487">
        <f>bal!K22</f>
        <v>22313240.764108557</v>
      </c>
      <c r="K11" s="487">
        <f>bal!L22</f>
        <v>33544955.436056085</v>
      </c>
      <c r="L11" s="487">
        <f>bal!M22</f>
        <v>44827415.988003612</v>
      </c>
      <c r="M11" s="488"/>
      <c r="N11" s="90"/>
      <c r="O11" s="489"/>
    </row>
    <row r="12" spans="2:15" x14ac:dyDescent="0.2">
      <c r="B12" s="75"/>
      <c r="C12" s="80"/>
      <c r="D12" s="491"/>
      <c r="E12" s="68"/>
      <c r="F12" s="1567"/>
      <c r="G12" s="1567"/>
      <c r="H12" s="68"/>
      <c r="I12" s="68"/>
      <c r="J12" s="68"/>
      <c r="K12" s="68"/>
      <c r="L12" s="68"/>
      <c r="M12" s="492"/>
      <c r="N12" s="77"/>
    </row>
    <row r="13" spans="2:15" x14ac:dyDescent="0.2">
      <c r="B13" s="75"/>
      <c r="C13" s="76"/>
      <c r="D13" s="76"/>
      <c r="E13" s="69"/>
      <c r="F13" s="69"/>
      <c r="G13" s="69"/>
      <c r="H13" s="69"/>
      <c r="I13" s="69"/>
      <c r="J13" s="69"/>
      <c r="K13" s="69"/>
      <c r="L13" s="69"/>
      <c r="M13" s="69"/>
      <c r="N13" s="77"/>
    </row>
    <row r="14" spans="2:15" x14ac:dyDescent="0.2">
      <c r="B14" s="75"/>
      <c r="C14" s="484"/>
      <c r="D14" s="485"/>
      <c r="E14" s="78"/>
      <c r="F14" s="78"/>
      <c r="G14" s="78"/>
      <c r="H14" s="78"/>
      <c r="I14" s="78"/>
      <c r="J14" s="78"/>
      <c r="K14" s="78"/>
      <c r="L14" s="78"/>
      <c r="M14" s="89"/>
      <c r="N14" s="77"/>
    </row>
    <row r="15" spans="2:15" x14ac:dyDescent="0.2">
      <c r="B15" s="75"/>
      <c r="C15" s="493"/>
      <c r="D15" s="567" t="s">
        <v>199</v>
      </c>
      <c r="E15" s="70"/>
      <c r="F15" s="622"/>
      <c r="G15" s="622"/>
      <c r="H15" s="70"/>
      <c r="I15" s="70"/>
      <c r="J15" s="70"/>
      <c r="K15" s="70"/>
      <c r="L15" s="70"/>
      <c r="M15" s="91"/>
      <c r="N15" s="77"/>
    </row>
    <row r="16" spans="2:15" x14ac:dyDescent="0.2">
      <c r="B16" s="75"/>
      <c r="C16" s="493"/>
      <c r="D16" s="195"/>
      <c r="E16" s="70"/>
      <c r="F16" s="622"/>
      <c r="G16" s="622"/>
      <c r="H16" s="70"/>
      <c r="I16" s="70"/>
      <c r="J16" s="70"/>
      <c r="K16" s="70"/>
      <c r="L16" s="70"/>
      <c r="M16" s="91"/>
      <c r="N16" s="77"/>
    </row>
    <row r="17" spans="2:18" x14ac:dyDescent="0.2">
      <c r="B17" s="75"/>
      <c r="C17" s="493"/>
      <c r="D17" s="187" t="s">
        <v>186</v>
      </c>
      <c r="E17" s="70"/>
      <c r="F17" s="1588"/>
      <c r="G17" s="1588"/>
      <c r="H17" s="494">
        <f>begr!H50</f>
        <v>11501469.735809159</v>
      </c>
      <c r="I17" s="494">
        <f>begr!I50</f>
        <v>10785065.928299397</v>
      </c>
      <c r="J17" s="494">
        <f>begr!J50</f>
        <v>11274802.531947529</v>
      </c>
      <c r="K17" s="494">
        <f>begr!K50</f>
        <v>11268585.551947528</v>
      </c>
      <c r="L17" s="494">
        <f>begr!L50</f>
        <v>11265954.131947529</v>
      </c>
      <c r="M17" s="91"/>
      <c r="N17" s="77"/>
    </row>
    <row r="18" spans="2:18" x14ac:dyDescent="0.2">
      <c r="B18" s="75"/>
      <c r="C18" s="493"/>
      <c r="D18" s="187"/>
      <c r="E18" s="70"/>
      <c r="F18" s="622"/>
      <c r="G18" s="622"/>
      <c r="H18" s="70"/>
      <c r="I18" s="70"/>
      <c r="J18" s="70"/>
      <c r="K18" s="70"/>
      <c r="L18" s="70"/>
      <c r="M18" s="91"/>
      <c r="N18" s="77"/>
    </row>
    <row r="19" spans="2:18" x14ac:dyDescent="0.2">
      <c r="B19" s="75"/>
      <c r="C19" s="493"/>
      <c r="D19" s="187" t="s">
        <v>95</v>
      </c>
      <c r="E19" s="70"/>
      <c r="F19" s="623"/>
      <c r="G19" s="623"/>
      <c r="H19" s="67">
        <f>act!F34</f>
        <v>13875</v>
      </c>
      <c r="I19" s="67">
        <f>act!G34</f>
        <v>13875</v>
      </c>
      <c r="J19" s="67">
        <f>act!H34</f>
        <v>13875</v>
      </c>
      <c r="K19" s="67">
        <f>act!I34</f>
        <v>13875</v>
      </c>
      <c r="L19" s="67">
        <f>act!J34</f>
        <v>13875</v>
      </c>
      <c r="M19" s="91"/>
      <c r="N19" s="77"/>
    </row>
    <row r="20" spans="2:18" x14ac:dyDescent="0.2">
      <c r="B20" s="75"/>
      <c r="C20" s="493"/>
      <c r="D20" s="187"/>
      <c r="E20" s="70"/>
      <c r="F20" s="623"/>
      <c r="G20" s="623"/>
      <c r="H20" s="218"/>
      <c r="I20" s="218"/>
      <c r="J20" s="218"/>
      <c r="K20" s="218"/>
      <c r="L20" s="218"/>
      <c r="M20" s="91"/>
      <c r="N20" s="77"/>
    </row>
    <row r="21" spans="2:18" x14ac:dyDescent="0.2">
      <c r="B21" s="75"/>
      <c r="C21" s="493"/>
      <c r="D21" s="495" t="s">
        <v>200</v>
      </c>
      <c r="E21" s="70"/>
      <c r="F21" s="623"/>
      <c r="G21" s="623"/>
      <c r="H21" s="218"/>
      <c r="I21" s="218"/>
      <c r="J21" s="218"/>
      <c r="K21" s="218"/>
      <c r="L21" s="218"/>
      <c r="M21" s="91"/>
      <c r="N21" s="77"/>
    </row>
    <row r="22" spans="2:18" x14ac:dyDescent="0.2">
      <c r="B22" s="75"/>
      <c r="C22" s="493"/>
      <c r="D22" s="187" t="s">
        <v>201</v>
      </c>
      <c r="E22" s="70"/>
      <c r="F22" s="623"/>
      <c r="G22" s="623"/>
      <c r="H22" s="67">
        <f>bal!I19-bal!J19</f>
        <v>0</v>
      </c>
      <c r="I22" s="67">
        <f>bal!J19-bal!K19</f>
        <v>0</v>
      </c>
      <c r="J22" s="67">
        <f>bal!K19-bal!L19</f>
        <v>0</v>
      </c>
      <c r="K22" s="67">
        <f>bal!L19-bal!M19</f>
        <v>0</v>
      </c>
      <c r="L22" s="67">
        <f>bal!M19-bal!N19</f>
        <v>0</v>
      </c>
      <c r="M22" s="91"/>
      <c r="N22" s="77"/>
    </row>
    <row r="23" spans="2:18" x14ac:dyDescent="0.2">
      <c r="B23" s="75"/>
      <c r="C23" s="493"/>
      <c r="D23" s="187" t="s">
        <v>202</v>
      </c>
      <c r="E23" s="70"/>
      <c r="F23" s="623"/>
      <c r="G23" s="623"/>
      <c r="H23" s="67">
        <f>bal!I20-bal!J20</f>
        <v>0</v>
      </c>
      <c r="I23" s="67">
        <f>bal!J20-bal!K20</f>
        <v>0</v>
      </c>
      <c r="J23" s="67">
        <f>bal!K20-bal!L20</f>
        <v>0</v>
      </c>
      <c r="K23" s="67">
        <f>bal!L20-bal!M20</f>
        <v>0</v>
      </c>
      <c r="L23" s="67">
        <f>bal!M20-bal!N20</f>
        <v>0</v>
      </c>
      <c r="M23" s="91"/>
      <c r="N23" s="77"/>
      <c r="R23" s="687"/>
    </row>
    <row r="24" spans="2:18" x14ac:dyDescent="0.2">
      <c r="B24" s="75"/>
      <c r="C24" s="493"/>
      <c r="D24" s="187" t="s">
        <v>203</v>
      </c>
      <c r="E24" s="70"/>
      <c r="F24" s="623"/>
      <c r="G24" s="623"/>
      <c r="H24" s="67">
        <f>bal!I21-bal!J21</f>
        <v>0</v>
      </c>
      <c r="I24" s="67">
        <f>bal!J21-bal!K21</f>
        <v>0</v>
      </c>
      <c r="J24" s="67">
        <f>bal!K21-bal!L21</f>
        <v>0</v>
      </c>
      <c r="K24" s="67">
        <f>bal!L21-bal!M21</f>
        <v>0</v>
      </c>
      <c r="L24" s="67">
        <f>bal!M21-bal!N21</f>
        <v>0</v>
      </c>
      <c r="M24" s="91"/>
      <c r="N24" s="77"/>
    </row>
    <row r="25" spans="2:18" x14ac:dyDescent="0.2">
      <c r="B25" s="75"/>
      <c r="C25" s="493"/>
      <c r="D25" s="187" t="s">
        <v>204</v>
      </c>
      <c r="E25" s="70"/>
      <c r="F25" s="623"/>
      <c r="G25" s="623"/>
      <c r="H25" s="67">
        <f>bal!J54-bal!K54</f>
        <v>0</v>
      </c>
      <c r="I25" s="67">
        <f>bal!K54-bal!L54</f>
        <v>0</v>
      </c>
      <c r="J25" s="67">
        <f>bal!L54-bal!M54</f>
        <v>0</v>
      </c>
      <c r="K25" s="67">
        <f>bal!M54-bal!N54</f>
        <v>0</v>
      </c>
      <c r="L25" s="67">
        <f>bal!N54-bal!O54</f>
        <v>0</v>
      </c>
      <c r="M25" s="91"/>
      <c r="N25" s="77"/>
    </row>
    <row r="26" spans="2:18" x14ac:dyDescent="0.2">
      <c r="B26" s="75"/>
      <c r="C26" s="493"/>
      <c r="D26" s="187"/>
      <c r="E26" s="70"/>
      <c r="F26" s="1598"/>
      <c r="G26" s="1598"/>
      <c r="H26" s="496">
        <f t="shared" ref="H26:L26" si="0">SUM(H22:H25)</f>
        <v>0</v>
      </c>
      <c r="I26" s="496">
        <f t="shared" si="0"/>
        <v>0</v>
      </c>
      <c r="J26" s="496">
        <f t="shared" si="0"/>
        <v>0</v>
      </c>
      <c r="K26" s="496">
        <f t="shared" si="0"/>
        <v>0</v>
      </c>
      <c r="L26" s="496">
        <f t="shared" si="0"/>
        <v>0</v>
      </c>
      <c r="M26" s="91"/>
      <c r="N26" s="77"/>
    </row>
    <row r="27" spans="2:18" x14ac:dyDescent="0.2">
      <c r="B27" s="75"/>
      <c r="C27" s="493"/>
      <c r="D27" s="497"/>
      <c r="E27" s="70"/>
      <c r="F27" s="623"/>
      <c r="G27" s="623"/>
      <c r="H27" s="218"/>
      <c r="I27" s="218"/>
      <c r="J27" s="218"/>
      <c r="K27" s="218"/>
      <c r="L27" s="218"/>
      <c r="M27" s="91"/>
      <c r="N27" s="77"/>
    </row>
    <row r="28" spans="2:18" x14ac:dyDescent="0.2">
      <c r="B28" s="75"/>
      <c r="C28" s="493"/>
      <c r="D28" s="187" t="s">
        <v>205</v>
      </c>
      <c r="E28" s="70"/>
      <c r="F28" s="623"/>
      <c r="G28" s="623"/>
      <c r="H28" s="67">
        <f>bal!J41-bal!I41</f>
        <v>0</v>
      </c>
      <c r="I28" s="67">
        <f>bal!K41-bal!J41</f>
        <v>-1044.9000000000001</v>
      </c>
      <c r="J28" s="67">
        <f>bal!L41-bal!K41</f>
        <v>-1462.8600000000001</v>
      </c>
      <c r="K28" s="67">
        <f>bal!M41-bal!L41</f>
        <v>0</v>
      </c>
      <c r="L28" s="67">
        <f>bal!N41-bal!N41</f>
        <v>0</v>
      </c>
      <c r="M28" s="91"/>
      <c r="N28" s="77"/>
    </row>
    <row r="29" spans="2:18" x14ac:dyDescent="0.2">
      <c r="B29" s="75"/>
      <c r="C29" s="493"/>
      <c r="D29" s="187"/>
      <c r="E29" s="70"/>
      <c r="F29" s="623"/>
      <c r="G29" s="623"/>
      <c r="H29" s="218"/>
      <c r="I29" s="218"/>
      <c r="J29" s="218"/>
      <c r="K29" s="218"/>
      <c r="L29" s="218"/>
      <c r="M29" s="91"/>
      <c r="N29" s="77"/>
    </row>
    <row r="30" spans="2:18" x14ac:dyDescent="0.2">
      <c r="B30" s="75"/>
      <c r="C30" s="493"/>
      <c r="D30" s="195" t="s">
        <v>71</v>
      </c>
      <c r="E30" s="70"/>
      <c r="F30" s="1599"/>
      <c r="G30" s="1599"/>
      <c r="H30" s="498">
        <f t="shared" ref="H30:L30" si="1">H17+H19+H26+H28</f>
        <v>11515344.735809159</v>
      </c>
      <c r="I30" s="498">
        <f t="shared" si="1"/>
        <v>10797896.028299397</v>
      </c>
      <c r="J30" s="498">
        <f t="shared" si="1"/>
        <v>11287214.67194753</v>
      </c>
      <c r="K30" s="498">
        <f t="shared" si="1"/>
        <v>11282460.551947528</v>
      </c>
      <c r="L30" s="498">
        <f t="shared" si="1"/>
        <v>11279829.131947529</v>
      </c>
      <c r="M30" s="91"/>
      <c r="N30" s="77"/>
    </row>
    <row r="31" spans="2:18" x14ac:dyDescent="0.2">
      <c r="B31" s="75"/>
      <c r="C31" s="493"/>
      <c r="D31" s="187"/>
      <c r="E31" s="70"/>
      <c r="F31" s="623"/>
      <c r="G31" s="623"/>
      <c r="H31" s="218"/>
      <c r="I31" s="218"/>
      <c r="J31" s="218"/>
      <c r="K31" s="218"/>
      <c r="L31" s="218"/>
      <c r="M31" s="91"/>
      <c r="N31" s="77"/>
    </row>
    <row r="32" spans="2:18" x14ac:dyDescent="0.2">
      <c r="B32" s="75"/>
      <c r="C32" s="76"/>
      <c r="D32" s="76"/>
      <c r="E32" s="69"/>
      <c r="F32" s="69"/>
      <c r="G32" s="69"/>
      <c r="H32" s="69"/>
      <c r="I32" s="69"/>
      <c r="J32" s="69"/>
      <c r="K32" s="69"/>
      <c r="L32" s="69"/>
      <c r="M32" s="69"/>
      <c r="N32" s="77"/>
    </row>
    <row r="33" spans="2:17" x14ac:dyDescent="0.2">
      <c r="B33" s="75"/>
      <c r="C33" s="493"/>
      <c r="D33" s="187"/>
      <c r="E33" s="70"/>
      <c r="F33" s="218"/>
      <c r="G33" s="218"/>
      <c r="H33" s="218"/>
      <c r="I33" s="218"/>
      <c r="J33" s="218"/>
      <c r="K33" s="218"/>
      <c r="L33" s="218"/>
      <c r="M33" s="91"/>
      <c r="N33" s="77"/>
    </row>
    <row r="34" spans="2:17" x14ac:dyDescent="0.2">
      <c r="B34" s="75"/>
      <c r="C34" s="493"/>
      <c r="D34" s="567" t="s">
        <v>206</v>
      </c>
      <c r="E34" s="70"/>
      <c r="F34" s="623"/>
      <c r="G34" s="623"/>
      <c r="H34" s="218"/>
      <c r="I34" s="218"/>
      <c r="J34" s="218"/>
      <c r="K34" s="218"/>
      <c r="L34" s="218"/>
      <c r="M34" s="91"/>
      <c r="N34" s="77"/>
    </row>
    <row r="35" spans="2:17" x14ac:dyDescent="0.2">
      <c r="B35" s="75"/>
      <c r="C35" s="493"/>
      <c r="D35" s="195"/>
      <c r="E35" s="70"/>
      <c r="F35" s="623"/>
      <c r="G35" s="623"/>
      <c r="H35" s="218"/>
      <c r="I35" s="218"/>
      <c r="J35" s="218"/>
      <c r="K35" s="218"/>
      <c r="L35" s="218"/>
      <c r="M35" s="91"/>
      <c r="N35" s="77"/>
    </row>
    <row r="36" spans="2:17" x14ac:dyDescent="0.2">
      <c r="B36" s="75"/>
      <c r="C36" s="493"/>
      <c r="D36" s="187" t="s">
        <v>233</v>
      </c>
      <c r="E36" s="70"/>
      <c r="F36" s="623"/>
      <c r="G36" s="623"/>
      <c r="H36" s="67">
        <f>act!F25</f>
        <v>0</v>
      </c>
      <c r="I36" s="67">
        <f>act!G25</f>
        <v>0</v>
      </c>
      <c r="J36" s="67">
        <f>act!H25</f>
        <v>55500</v>
      </c>
      <c r="K36" s="67">
        <f>act!I25</f>
        <v>0</v>
      </c>
      <c r="L36" s="67">
        <f>act!J25</f>
        <v>0</v>
      </c>
      <c r="M36" s="91"/>
      <c r="N36" s="77"/>
    </row>
    <row r="37" spans="2:17" x14ac:dyDescent="0.2">
      <c r="B37" s="75"/>
      <c r="C37" s="493"/>
      <c r="D37" s="187" t="s">
        <v>234</v>
      </c>
      <c r="E37" s="70"/>
      <c r="F37" s="623"/>
      <c r="G37" s="623"/>
      <c r="H37" s="67">
        <f>bal!J14-bal!I14</f>
        <v>0</v>
      </c>
      <c r="I37" s="67">
        <f>bal!K14-bal!J14</f>
        <v>0</v>
      </c>
      <c r="J37" s="67">
        <f>bal!L14-bal!K14</f>
        <v>0</v>
      </c>
      <c r="K37" s="67">
        <f>bal!M14-bal!L14</f>
        <v>0</v>
      </c>
      <c r="L37" s="67">
        <f>bal!M14-bal!M14</f>
        <v>0</v>
      </c>
      <c r="M37" s="91"/>
      <c r="N37" s="77"/>
    </row>
    <row r="38" spans="2:17" x14ac:dyDescent="0.2">
      <c r="B38" s="75"/>
      <c r="C38" s="493"/>
      <c r="D38" s="187" t="s">
        <v>235</v>
      </c>
      <c r="E38" s="70"/>
      <c r="F38" s="623"/>
      <c r="G38" s="623"/>
      <c r="H38" s="67">
        <f>bal!J16-bal!I16</f>
        <v>0</v>
      </c>
      <c r="I38" s="67">
        <f>bal!K16-bal!J16</f>
        <v>0</v>
      </c>
      <c r="J38" s="67">
        <f>bal!L16-bal!K16</f>
        <v>0</v>
      </c>
      <c r="K38" s="67">
        <f>bal!M16-bal!L16</f>
        <v>0</v>
      </c>
      <c r="L38" s="67">
        <f>bal!M16-bal!M16</f>
        <v>0</v>
      </c>
      <c r="M38" s="91"/>
      <c r="N38" s="77"/>
    </row>
    <row r="39" spans="2:17" x14ac:dyDescent="0.2">
      <c r="B39" s="75"/>
      <c r="C39" s="493"/>
      <c r="D39" s="187"/>
      <c r="E39" s="70"/>
      <c r="F39" s="623"/>
      <c r="G39" s="623"/>
      <c r="H39" s="218"/>
      <c r="I39" s="218"/>
      <c r="J39" s="218"/>
      <c r="K39" s="218"/>
      <c r="L39" s="218"/>
      <c r="M39" s="91"/>
      <c r="N39" s="77"/>
    </row>
    <row r="40" spans="2:17" x14ac:dyDescent="0.2">
      <c r="B40" s="75"/>
      <c r="C40" s="493"/>
      <c r="D40" s="195"/>
      <c r="E40" s="70"/>
      <c r="F40" s="1069"/>
      <c r="G40" s="1069"/>
      <c r="H40" s="499">
        <f t="shared" ref="H40:L40" si="2">SUM(H36:H38)</f>
        <v>0</v>
      </c>
      <c r="I40" s="499">
        <f t="shared" si="2"/>
        <v>0</v>
      </c>
      <c r="J40" s="499">
        <f t="shared" si="2"/>
        <v>55500</v>
      </c>
      <c r="K40" s="499">
        <f t="shared" si="2"/>
        <v>0</v>
      </c>
      <c r="L40" s="499">
        <f t="shared" si="2"/>
        <v>0</v>
      </c>
      <c r="M40" s="91"/>
      <c r="N40" s="77"/>
    </row>
    <row r="41" spans="2:17" x14ac:dyDescent="0.2">
      <c r="B41" s="75"/>
      <c r="C41" s="493"/>
      <c r="D41" s="187"/>
      <c r="E41" s="70"/>
      <c r="F41" s="623"/>
      <c r="G41" s="623"/>
      <c r="H41" s="218"/>
      <c r="I41" s="218"/>
      <c r="J41" s="218"/>
      <c r="K41" s="218"/>
      <c r="L41" s="218"/>
      <c r="M41" s="91"/>
      <c r="N41" s="77"/>
    </row>
    <row r="42" spans="2:17" x14ac:dyDescent="0.2">
      <c r="B42" s="75"/>
      <c r="C42" s="76"/>
      <c r="D42" s="76"/>
      <c r="E42" s="69"/>
      <c r="F42" s="69"/>
      <c r="G42" s="69"/>
      <c r="H42" s="69"/>
      <c r="I42" s="69"/>
      <c r="J42" s="69"/>
      <c r="K42" s="69"/>
      <c r="L42" s="69"/>
      <c r="M42" s="69"/>
      <c r="N42" s="77"/>
    </row>
    <row r="43" spans="2:17" x14ac:dyDescent="0.2">
      <c r="B43" s="75"/>
      <c r="C43" s="493"/>
      <c r="D43" s="187"/>
      <c r="E43" s="70"/>
      <c r="F43" s="623"/>
      <c r="G43" s="623"/>
      <c r="H43" s="218"/>
      <c r="I43" s="218"/>
      <c r="J43" s="218"/>
      <c r="K43" s="218"/>
      <c r="L43" s="218"/>
      <c r="M43" s="91"/>
      <c r="N43" s="77"/>
    </row>
    <row r="44" spans="2:17" x14ac:dyDescent="0.2">
      <c r="B44" s="75"/>
      <c r="C44" s="493"/>
      <c r="D44" s="567" t="s">
        <v>207</v>
      </c>
      <c r="E44" s="70"/>
      <c r="F44" s="1599"/>
      <c r="G44" s="1599"/>
      <c r="H44" s="498">
        <f>bal!J45-bal!I45</f>
        <v>0</v>
      </c>
      <c r="I44" s="498">
        <f>bal!K45-bal!J45</f>
        <v>0</v>
      </c>
      <c r="J44" s="498">
        <f>bal!L45-bal!K45</f>
        <v>0</v>
      </c>
      <c r="K44" s="498">
        <f>bal!M45-bal!L45</f>
        <v>0</v>
      </c>
      <c r="L44" s="498">
        <f>bal!M45-bal!M45</f>
        <v>0</v>
      </c>
      <c r="M44" s="91"/>
      <c r="N44" s="77"/>
    </row>
    <row r="45" spans="2:17" x14ac:dyDescent="0.2">
      <c r="B45" s="75"/>
      <c r="C45" s="493"/>
      <c r="D45" s="195"/>
      <c r="E45" s="70"/>
      <c r="F45" s="623"/>
      <c r="G45" s="623"/>
      <c r="H45" s="218"/>
      <c r="I45" s="218"/>
      <c r="J45" s="218"/>
      <c r="K45" s="218"/>
      <c r="L45" s="218"/>
      <c r="M45" s="91"/>
      <c r="N45" s="77"/>
    </row>
    <row r="46" spans="2:17" x14ac:dyDescent="0.2">
      <c r="B46" s="75"/>
      <c r="C46" s="76"/>
      <c r="D46" s="76"/>
      <c r="E46" s="69"/>
      <c r="F46" s="69"/>
      <c r="G46" s="69"/>
      <c r="H46" s="69"/>
      <c r="I46" s="69"/>
      <c r="J46" s="69"/>
      <c r="K46" s="69"/>
      <c r="L46" s="69"/>
      <c r="M46" s="69"/>
      <c r="N46" s="77"/>
    </row>
    <row r="47" spans="2:17" x14ac:dyDescent="0.2">
      <c r="B47" s="75"/>
      <c r="C47" s="493"/>
      <c r="D47" s="187"/>
      <c r="E47" s="70"/>
      <c r="F47" s="623"/>
      <c r="G47" s="623"/>
      <c r="H47" s="218"/>
      <c r="I47" s="218"/>
      <c r="J47" s="218"/>
      <c r="K47" s="218"/>
      <c r="L47" s="218"/>
      <c r="M47" s="91"/>
      <c r="N47" s="77"/>
    </row>
    <row r="48" spans="2:17" x14ac:dyDescent="0.2">
      <c r="B48" s="75"/>
      <c r="C48" s="493"/>
      <c r="D48" s="578" t="s">
        <v>208</v>
      </c>
      <c r="E48" s="70"/>
      <c r="F48" s="1599"/>
      <c r="G48" s="1599"/>
      <c r="H48" s="498">
        <f t="shared" ref="H48:K48" si="3">H30-H40+H44</f>
        <v>11515344.735809159</v>
      </c>
      <c r="I48" s="498">
        <f t="shared" si="3"/>
        <v>10797896.028299397</v>
      </c>
      <c r="J48" s="498">
        <f t="shared" si="3"/>
        <v>11231714.67194753</v>
      </c>
      <c r="K48" s="498">
        <f t="shared" si="3"/>
        <v>11282460.551947528</v>
      </c>
      <c r="L48" s="498">
        <f>L30-L40+L44</f>
        <v>11279829.131947529</v>
      </c>
      <c r="M48" s="91"/>
      <c r="N48" s="77"/>
      <c r="Q48" s="687"/>
    </row>
    <row r="49" spans="2:15" x14ac:dyDescent="0.2">
      <c r="B49" s="75"/>
      <c r="C49" s="493"/>
      <c r="D49" s="500" t="s">
        <v>209</v>
      </c>
      <c r="E49" s="501"/>
      <c r="F49" s="1600"/>
      <c r="G49" s="1600"/>
      <c r="H49" s="502">
        <f>bal!J22-bal!I22</f>
        <v>11515344.735809159</v>
      </c>
      <c r="I49" s="502">
        <f>bal!K22-bal!J22</f>
        <v>10797896.028299399</v>
      </c>
      <c r="J49" s="502">
        <f>bal!L22-bal!K22</f>
        <v>11231714.671947528</v>
      </c>
      <c r="K49" s="502">
        <f>bal!M22-bal!L22</f>
        <v>11282460.551947527</v>
      </c>
      <c r="L49" s="502">
        <f>bal!M22-bal!L22</f>
        <v>11282460.551947527</v>
      </c>
      <c r="M49" s="91"/>
      <c r="N49" s="77"/>
    </row>
    <row r="50" spans="2:15" x14ac:dyDescent="0.2">
      <c r="B50" s="75"/>
      <c r="C50" s="493"/>
      <c r="D50" s="187"/>
      <c r="E50" s="70"/>
      <c r="F50" s="623"/>
      <c r="G50" s="623"/>
      <c r="H50" s="218"/>
      <c r="I50" s="218"/>
      <c r="J50" s="218"/>
      <c r="K50" s="218"/>
      <c r="L50" s="218"/>
      <c r="M50" s="91"/>
      <c r="N50" s="77"/>
    </row>
    <row r="51" spans="2:15" s="490" customFormat="1" x14ac:dyDescent="0.2">
      <c r="B51" s="79"/>
      <c r="C51" s="486"/>
      <c r="D51" s="567" t="s">
        <v>210</v>
      </c>
      <c r="E51" s="197"/>
      <c r="F51" s="1599"/>
      <c r="G51" s="1599"/>
      <c r="H51" s="498">
        <f t="shared" ref="H51:K51" si="4">H11+H48</f>
        <v>11515344.735809159</v>
      </c>
      <c r="I51" s="498">
        <f t="shared" si="4"/>
        <v>22313240.764108554</v>
      </c>
      <c r="J51" s="498">
        <f t="shared" si="4"/>
        <v>33544955.436056085</v>
      </c>
      <c r="K51" s="498">
        <f t="shared" si="4"/>
        <v>44827415.988003612</v>
      </c>
      <c r="L51" s="498">
        <f>L11+L48</f>
        <v>56107245.119951144</v>
      </c>
      <c r="M51" s="488"/>
      <c r="N51" s="90"/>
      <c r="O51" s="489"/>
    </row>
    <row r="52" spans="2:15" s="490" customFormat="1" x14ac:dyDescent="0.2">
      <c r="B52" s="79"/>
      <c r="C52" s="486"/>
      <c r="D52" s="503" t="s">
        <v>211</v>
      </c>
      <c r="E52" s="504"/>
      <c r="F52" s="1601"/>
      <c r="G52" s="1601"/>
      <c r="H52" s="505" t="str">
        <f>bal!I65</f>
        <v>nvt</v>
      </c>
      <c r="I52" s="505" t="str">
        <f>bal!J65</f>
        <v>nvt</v>
      </c>
      <c r="J52" s="505" t="str">
        <f>bal!K65</f>
        <v>nvt</v>
      </c>
      <c r="K52" s="505" t="str">
        <f>bal!L65</f>
        <v>nvt</v>
      </c>
      <c r="L52" s="505" t="str">
        <f>bal!M65</f>
        <v>nvt</v>
      </c>
      <c r="M52" s="505"/>
      <c r="N52" s="90"/>
      <c r="O52" s="489"/>
    </row>
    <row r="53" spans="2:15" x14ac:dyDescent="0.2">
      <c r="B53" s="75"/>
      <c r="C53" s="80"/>
      <c r="D53" s="81"/>
      <c r="E53" s="68"/>
      <c r="F53" s="506"/>
      <c r="G53" s="506"/>
      <c r="H53" s="506"/>
      <c r="I53" s="506"/>
      <c r="J53" s="506"/>
      <c r="K53" s="506"/>
      <c r="L53" s="506"/>
      <c r="M53" s="492"/>
      <c r="N53" s="77"/>
    </row>
    <row r="54" spans="2:15" x14ac:dyDescent="0.2">
      <c r="B54" s="75"/>
      <c r="C54" s="76"/>
      <c r="D54" s="76"/>
      <c r="E54" s="69"/>
      <c r="F54" s="507"/>
      <c r="G54" s="507"/>
      <c r="H54" s="507"/>
      <c r="I54" s="507"/>
      <c r="J54" s="507"/>
      <c r="K54" s="507"/>
      <c r="L54" s="507"/>
      <c r="M54" s="69"/>
      <c r="N54" s="77"/>
    </row>
    <row r="55" spans="2:15" x14ac:dyDescent="0.2">
      <c r="B55" s="85"/>
      <c r="C55" s="82"/>
      <c r="D55" s="82"/>
      <c r="E55" s="83"/>
      <c r="F55" s="399"/>
      <c r="G55" s="399"/>
      <c r="H55" s="399"/>
      <c r="I55" s="399"/>
      <c r="J55" s="399"/>
      <c r="K55" s="399"/>
      <c r="L55" s="399"/>
      <c r="M55" s="613" t="s">
        <v>378</v>
      </c>
      <c r="N55" s="84"/>
    </row>
  </sheetData>
  <sheetProtection algorithmName="SHA-512" hashValue="0qJQn53zYn1WEpthuLEvjwpCYLqN5q/KDQhJml42modhBK3w7PTwR0m0PRyMIGvgiFrvLhVwv0b6ob21KXpwUw==" saltValue="7XO11KpxSbRYki+JiAaWew==" spinCount="100000" sheet="1" objects="1" scenarios="1"/>
  <phoneticPr fontId="0" type="noConversion"/>
  <hyperlinks>
    <hyperlink ref="M55" r:id="rId1" xr:uid="{00000000-0004-0000-0D00-000000000000}"/>
  </hyperlinks>
  <pageMargins left="0.75" right="0.75" top="1" bottom="1" header="0.5" footer="0.5"/>
  <pageSetup paperSize="9" scale="58" orientation="landscape" r:id="rId2"/>
  <headerFooter alignWithMargins="0">
    <oddHeader>&amp;L&amp;"Arial,Vet"&amp;9&amp;F&amp;R&amp;"Arial,Vet"&amp;9&amp;A</oddHeader>
    <oddFooter>&amp;L&amp;"Arial,Vet"&amp;9be.keizer@wxs.nl&amp;C&amp;"Arial,Vet"&amp;9pagina &amp;P&amp;R&amp;"Arial,Vet"&amp;9&amp;D</oddFooter>
  </headerFooter>
  <colBreaks count="1" manualBreakCount="1">
    <brk id="14" min="1" max="64" man="1"/>
  </colBreaks>
  <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K1234"/>
  <sheetViews>
    <sheetView zoomScale="85" zoomScaleNormal="85" workbookViewId="0">
      <selection activeCell="B2" sqref="B2"/>
    </sheetView>
  </sheetViews>
  <sheetFormatPr defaultRowHeight="12.75" x14ac:dyDescent="0.2"/>
  <cols>
    <col min="1" max="1" width="3.7109375" style="682" customWidth="1"/>
    <col min="2" max="3" width="2.7109375" style="625" customWidth="1"/>
    <col min="4" max="4" width="41" style="626" customWidth="1"/>
    <col min="5" max="5" width="9.42578125" style="625" customWidth="1"/>
    <col min="6" max="6" width="14.85546875" style="627" hidden="1" customWidth="1"/>
    <col min="7" max="7" width="1.5703125" style="627" customWidth="1"/>
    <col min="8" max="12" width="14.85546875" style="627" customWidth="1"/>
    <col min="13" max="13" width="2.7109375" style="628" customWidth="1"/>
    <col min="14" max="14" width="2.7109375" style="625" customWidth="1"/>
    <col min="15" max="16" width="14.7109375" style="682" customWidth="1"/>
    <col min="17" max="37" width="9.140625" style="682"/>
    <col min="38" max="16384" width="9.140625" style="625"/>
  </cols>
  <sheetData>
    <row r="1" spans="1:37" s="682" customFormat="1" x14ac:dyDescent="0.2">
      <c r="D1" s="683"/>
      <c r="F1" s="684"/>
      <c r="G1" s="684"/>
      <c r="H1" s="684"/>
      <c r="I1" s="684"/>
      <c r="J1" s="684"/>
      <c r="K1" s="684"/>
      <c r="L1" s="684"/>
      <c r="M1" s="685"/>
    </row>
    <row r="2" spans="1:37" x14ac:dyDescent="0.2">
      <c r="B2" s="651"/>
      <c r="C2" s="629"/>
      <c r="D2" s="630"/>
      <c r="E2" s="629"/>
      <c r="F2" s="631"/>
      <c r="G2" s="631"/>
      <c r="H2" s="631"/>
      <c r="I2" s="631"/>
      <c r="J2" s="631"/>
      <c r="K2" s="631"/>
      <c r="L2" s="631"/>
      <c r="M2" s="632"/>
      <c r="N2" s="633"/>
    </row>
    <row r="3" spans="1:37" x14ac:dyDescent="0.2">
      <c r="B3" s="634"/>
      <c r="C3" s="635"/>
      <c r="D3" s="636"/>
      <c r="E3" s="635"/>
      <c r="F3" s="637"/>
      <c r="G3" s="637"/>
      <c r="H3" s="637"/>
      <c r="I3" s="637"/>
      <c r="J3" s="637"/>
      <c r="K3" s="637"/>
      <c r="L3" s="637"/>
      <c r="M3" s="638"/>
      <c r="N3" s="769"/>
    </row>
    <row r="4" spans="1:37" s="644" customFormat="1" ht="18.75" x14ac:dyDescent="0.3">
      <c r="A4" s="686"/>
      <c r="B4" s="639"/>
      <c r="C4" s="1362" t="s">
        <v>872</v>
      </c>
      <c r="D4" s="640"/>
      <c r="E4" s="641"/>
      <c r="F4" s="642"/>
      <c r="G4" s="642"/>
      <c r="H4" s="642"/>
      <c r="I4" s="642"/>
      <c r="J4" s="642"/>
      <c r="K4" s="642"/>
      <c r="L4" s="642"/>
      <c r="M4" s="643"/>
      <c r="N4" s="770"/>
      <c r="O4" s="686"/>
      <c r="P4" s="686"/>
      <c r="Q4" s="686"/>
      <c r="R4" s="686"/>
      <c r="S4" s="686"/>
      <c r="T4" s="686"/>
      <c r="U4" s="686"/>
      <c r="V4" s="686"/>
      <c r="W4" s="686"/>
      <c r="X4" s="686"/>
      <c r="Y4" s="686"/>
      <c r="Z4" s="686"/>
      <c r="AA4" s="686"/>
      <c r="AB4" s="686"/>
      <c r="AC4" s="686"/>
      <c r="AD4" s="686"/>
      <c r="AE4" s="686"/>
      <c r="AF4" s="686"/>
      <c r="AG4" s="686"/>
      <c r="AH4" s="686"/>
      <c r="AI4" s="686"/>
      <c r="AJ4" s="686"/>
      <c r="AK4" s="686"/>
    </row>
    <row r="5" spans="1:37" s="644" customFormat="1" ht="18.75" x14ac:dyDescent="0.3">
      <c r="A5" s="686"/>
      <c r="B5" s="639"/>
      <c r="C5" s="1362" t="str">
        <f>'geg ll'!C5</f>
        <v>Voorbeeld SWV VO Alkmaar</v>
      </c>
      <c r="D5" s="640"/>
      <c r="E5" s="641"/>
      <c r="F5" s="642"/>
      <c r="G5" s="642"/>
      <c r="H5" s="642"/>
      <c r="I5" s="642"/>
      <c r="J5" s="642"/>
      <c r="K5" s="642"/>
      <c r="L5" s="642"/>
      <c r="M5" s="643"/>
      <c r="N5" s="770"/>
      <c r="O5" s="686"/>
      <c r="P5" s="686"/>
      <c r="Q5" s="686"/>
      <c r="R5" s="686"/>
      <c r="S5" s="686"/>
      <c r="T5" s="686"/>
      <c r="U5" s="686"/>
      <c r="V5" s="686"/>
      <c r="W5" s="686"/>
      <c r="X5" s="686"/>
      <c r="Y5" s="686"/>
      <c r="Z5" s="686"/>
      <c r="AA5" s="686"/>
      <c r="AB5" s="686"/>
      <c r="AC5" s="686"/>
      <c r="AD5" s="686"/>
      <c r="AE5" s="686"/>
      <c r="AF5" s="686"/>
      <c r="AG5" s="686"/>
      <c r="AH5" s="686"/>
      <c r="AI5" s="686"/>
      <c r="AJ5" s="686"/>
      <c r="AK5" s="686"/>
    </row>
    <row r="6" spans="1:37" x14ac:dyDescent="0.2">
      <c r="B6" s="634"/>
      <c r="C6" s="635"/>
      <c r="D6" s="636"/>
      <c r="E6" s="635"/>
      <c r="F6" s="637"/>
      <c r="G6" s="637"/>
      <c r="H6" s="637"/>
      <c r="I6" s="637"/>
      <c r="J6" s="637"/>
      <c r="K6" s="637"/>
      <c r="L6" s="637"/>
      <c r="M6" s="638"/>
      <c r="N6" s="769"/>
    </row>
    <row r="7" spans="1:37" x14ac:dyDescent="0.2">
      <c r="B7" s="634"/>
      <c r="C7" s="635"/>
      <c r="D7" s="636"/>
      <c r="E7" s="635"/>
      <c r="F7" s="652">
        <f>+tab!E4</f>
        <v>2018</v>
      </c>
      <c r="G7" s="652"/>
      <c r="H7" s="652">
        <f>+tab!G4</f>
        <v>2020</v>
      </c>
      <c r="I7" s="652">
        <f>+tab!H4</f>
        <v>2021</v>
      </c>
      <c r="J7" s="652">
        <f>+tab!I4</f>
        <v>2022</v>
      </c>
      <c r="K7" s="652">
        <f>+tab!J4</f>
        <v>2023</v>
      </c>
      <c r="L7" s="652">
        <f>+tab!K4</f>
        <v>2024</v>
      </c>
      <c r="M7" s="635"/>
      <c r="N7" s="769"/>
    </row>
    <row r="8" spans="1:37" x14ac:dyDescent="0.2">
      <c r="B8" s="634"/>
      <c r="C8" s="635"/>
      <c r="D8" s="636"/>
      <c r="E8" s="635"/>
      <c r="F8" s="645"/>
      <c r="G8" s="645"/>
      <c r="H8" s="645"/>
      <c r="I8" s="645"/>
      <c r="J8" s="645"/>
      <c r="K8" s="645"/>
      <c r="L8" s="645"/>
      <c r="M8" s="638"/>
      <c r="N8" s="769"/>
    </row>
    <row r="9" spans="1:37" x14ac:dyDescent="0.2">
      <c r="B9" s="646"/>
      <c r="C9" s="688"/>
      <c r="D9" s="688"/>
      <c r="E9" s="688"/>
      <c r="F9" s="689"/>
      <c r="G9" s="689"/>
      <c r="H9" s="689"/>
      <c r="I9" s="689"/>
      <c r="J9" s="689"/>
      <c r="K9" s="689"/>
      <c r="L9" s="689"/>
      <c r="M9" s="688"/>
      <c r="N9" s="769"/>
    </row>
    <row r="10" spans="1:37" x14ac:dyDescent="0.2">
      <c r="B10" s="646"/>
      <c r="C10" s="688"/>
      <c r="D10" s="690" t="s">
        <v>711</v>
      </c>
      <c r="E10" s="688"/>
      <c r="F10" s="689"/>
      <c r="G10" s="689"/>
      <c r="H10" s="689"/>
      <c r="I10" s="689"/>
      <c r="J10" s="689"/>
      <c r="K10" s="689"/>
      <c r="L10" s="689"/>
      <c r="M10" s="688"/>
      <c r="N10" s="769"/>
    </row>
    <row r="11" spans="1:37" x14ac:dyDescent="0.2">
      <c r="B11" s="646"/>
      <c r="C11" s="688"/>
      <c r="D11" s="688"/>
      <c r="E11" s="688"/>
      <c r="F11" s="689"/>
      <c r="G11" s="689"/>
      <c r="H11" s="689"/>
      <c r="I11" s="689"/>
      <c r="J11" s="689"/>
      <c r="K11" s="689"/>
      <c r="L11" s="689"/>
      <c r="M11" s="688"/>
      <c r="N11" s="769"/>
    </row>
    <row r="12" spans="1:37" x14ac:dyDescent="0.2">
      <c r="B12" s="646"/>
      <c r="C12" s="688"/>
      <c r="D12" s="691" t="s">
        <v>386</v>
      </c>
      <c r="E12" s="688"/>
      <c r="F12" s="689"/>
      <c r="G12" s="1603"/>
      <c r="H12" s="689"/>
      <c r="I12" s="689"/>
      <c r="J12" s="689"/>
      <c r="K12" s="689"/>
      <c r="L12" s="689"/>
      <c r="M12" s="688"/>
      <c r="N12" s="769"/>
    </row>
    <row r="13" spans="1:37" x14ac:dyDescent="0.2">
      <c r="B13" s="646"/>
      <c r="C13" s="688"/>
      <c r="D13" s="688" t="s">
        <v>387</v>
      </c>
      <c r="E13" s="688"/>
      <c r="F13" s="692">
        <f>begr!F74</f>
        <v>0</v>
      </c>
      <c r="G13" s="729"/>
      <c r="H13" s="692">
        <f>begr!H23</f>
        <v>20073429.319975823</v>
      </c>
      <c r="I13" s="692">
        <f>begr!I23</f>
        <v>19640814.939132731</v>
      </c>
      <c r="J13" s="692">
        <f>begr!J23</f>
        <v>20113192.061947528</v>
      </c>
      <c r="K13" s="692">
        <f>begr!K23</f>
        <v>20113192.061947528</v>
      </c>
      <c r="L13" s="692">
        <f>begr!L23</f>
        <v>20113192.061947528</v>
      </c>
      <c r="M13" s="688"/>
      <c r="N13" s="769"/>
    </row>
    <row r="14" spans="1:37" x14ac:dyDescent="0.2">
      <c r="B14" s="646"/>
      <c r="C14" s="688"/>
      <c r="D14" s="688" t="s">
        <v>388</v>
      </c>
      <c r="E14" s="688"/>
      <c r="F14" s="692">
        <f>begr!F95</f>
        <v>0</v>
      </c>
      <c r="G14" s="729"/>
      <c r="H14" s="692">
        <f>begr!H43</f>
        <v>0</v>
      </c>
      <c r="I14" s="692">
        <f>begr!I43</f>
        <v>0</v>
      </c>
      <c r="J14" s="692">
        <f>begr!J43</f>
        <v>0</v>
      </c>
      <c r="K14" s="692">
        <f>begr!K43</f>
        <v>0</v>
      </c>
      <c r="L14" s="692">
        <f>begr!L43</f>
        <v>0</v>
      </c>
      <c r="M14" s="688"/>
      <c r="N14" s="769"/>
    </row>
    <row r="15" spans="1:37" x14ac:dyDescent="0.2">
      <c r="B15" s="647"/>
      <c r="C15" s="688"/>
      <c r="D15" s="693" t="s">
        <v>71</v>
      </c>
      <c r="E15" s="688"/>
      <c r="F15" s="694">
        <f t="shared" ref="F15:K15" si="0">SUM(F13:F14)</f>
        <v>0</v>
      </c>
      <c r="G15" s="1604"/>
      <c r="H15" s="694">
        <f t="shared" si="0"/>
        <v>20073429.319975823</v>
      </c>
      <c r="I15" s="694">
        <f t="shared" si="0"/>
        <v>19640814.939132731</v>
      </c>
      <c r="J15" s="694">
        <f t="shared" si="0"/>
        <v>20113192.061947528</v>
      </c>
      <c r="K15" s="694">
        <f t="shared" si="0"/>
        <v>20113192.061947528</v>
      </c>
      <c r="L15" s="694">
        <f>SUM(L13:L14)</f>
        <v>20113192.061947528</v>
      </c>
      <c r="M15" s="688"/>
      <c r="N15" s="769"/>
    </row>
    <row r="16" spans="1:37" x14ac:dyDescent="0.2">
      <c r="B16" s="646"/>
      <c r="C16" s="695"/>
      <c r="D16" s="696" t="s">
        <v>389</v>
      </c>
      <c r="E16" s="697"/>
      <c r="F16" s="815">
        <f>IF('geg ll'!G71=0,0,+F15/'geg ll'!G71)</f>
        <v>0</v>
      </c>
      <c r="G16" s="1605"/>
      <c r="H16" s="815">
        <f>IF('geg ll'!I71=0,0,+H15/'geg ll'!I71)</f>
        <v>1291.9758846608627</v>
      </c>
      <c r="I16" s="815">
        <f>IF('geg ll'!J71=0,0,+I15/'geg ll'!J71)</f>
        <v>1264.1317460985217</v>
      </c>
      <c r="J16" s="815">
        <f>IF('geg ll'!K71=0,0,+J15/'geg ll'!K71)</f>
        <v>1294.5351137251419</v>
      </c>
      <c r="K16" s="815">
        <f>IF('geg ll'!L71=0,0,+K15/'geg ll'!L71)</f>
        <v>1294.5351137251419</v>
      </c>
      <c r="L16" s="815">
        <f>IF('geg ll'!M71=0,0,+L15/'geg ll'!M71)</f>
        <v>1294.5351137251419</v>
      </c>
      <c r="M16" s="688"/>
      <c r="N16" s="769"/>
    </row>
    <row r="17" spans="2:14" x14ac:dyDescent="0.2">
      <c r="B17" s="646"/>
      <c r="C17" s="688"/>
      <c r="D17" s="698"/>
      <c r="E17" s="688"/>
      <c r="F17" s="699"/>
      <c r="G17" s="729"/>
      <c r="H17" s="699"/>
      <c r="I17" s="699"/>
      <c r="J17" s="699"/>
      <c r="K17" s="699"/>
      <c r="L17" s="699"/>
      <c r="M17" s="688"/>
      <c r="N17" s="769"/>
    </row>
    <row r="18" spans="2:14" x14ac:dyDescent="0.2">
      <c r="B18" s="646"/>
      <c r="C18" s="688"/>
      <c r="D18" s="691" t="s">
        <v>390</v>
      </c>
      <c r="E18" s="688"/>
      <c r="F18" s="700"/>
      <c r="G18" s="1606"/>
      <c r="H18" s="700"/>
      <c r="I18" s="700"/>
      <c r="J18" s="700"/>
      <c r="K18" s="700"/>
      <c r="L18" s="700"/>
      <c r="M18" s="698"/>
      <c r="N18" s="769"/>
    </row>
    <row r="19" spans="2:14" x14ac:dyDescent="0.2">
      <c r="B19" s="646"/>
      <c r="C19" s="688"/>
      <c r="D19" s="688" t="s">
        <v>391</v>
      </c>
      <c r="E19" s="688"/>
      <c r="F19" s="692">
        <f>begr!F87</f>
        <v>0</v>
      </c>
      <c r="G19" s="729"/>
      <c r="H19" s="692">
        <f>begr!H35</f>
        <v>8571959.5841666646</v>
      </c>
      <c r="I19" s="692">
        <f>begr!I35</f>
        <v>8855749.0108333342</v>
      </c>
      <c r="J19" s="692">
        <f>begr!J35</f>
        <v>8838389.5299999993</v>
      </c>
      <c r="K19" s="692">
        <f>begr!K35</f>
        <v>8844606.5099999998</v>
      </c>
      <c r="L19" s="692">
        <f>begr!L35</f>
        <v>8847237.9299999997</v>
      </c>
      <c r="M19" s="688"/>
      <c r="N19" s="769"/>
    </row>
    <row r="20" spans="2:14" x14ac:dyDescent="0.2">
      <c r="B20" s="646"/>
      <c r="C20" s="688"/>
      <c r="D20" s="688" t="s">
        <v>392</v>
      </c>
      <c r="E20" s="688"/>
      <c r="F20" s="692">
        <f>begr!F96</f>
        <v>0</v>
      </c>
      <c r="G20" s="729"/>
      <c r="H20" s="692">
        <f>begr!H44</f>
        <v>0</v>
      </c>
      <c r="I20" s="692">
        <f>begr!I44</f>
        <v>0</v>
      </c>
      <c r="J20" s="692">
        <f>begr!J44</f>
        <v>0</v>
      </c>
      <c r="K20" s="692">
        <f>begr!K44</f>
        <v>0</v>
      </c>
      <c r="L20" s="692">
        <f>begr!L44</f>
        <v>0</v>
      </c>
      <c r="M20" s="688"/>
      <c r="N20" s="769"/>
    </row>
    <row r="21" spans="2:14" x14ac:dyDescent="0.2">
      <c r="B21" s="647"/>
      <c r="C21" s="688"/>
      <c r="D21" s="693" t="s">
        <v>71</v>
      </c>
      <c r="E21" s="688"/>
      <c r="F21" s="694">
        <f t="shared" ref="F21:K21" si="1">SUM(F19:F20)</f>
        <v>0</v>
      </c>
      <c r="G21" s="1604"/>
      <c r="H21" s="694">
        <f t="shared" si="1"/>
        <v>8571959.5841666646</v>
      </c>
      <c r="I21" s="694">
        <f t="shared" si="1"/>
        <v>8855749.0108333342</v>
      </c>
      <c r="J21" s="694">
        <f t="shared" si="1"/>
        <v>8838389.5299999993</v>
      </c>
      <c r="K21" s="694">
        <f t="shared" si="1"/>
        <v>8844606.5099999998</v>
      </c>
      <c r="L21" s="694">
        <f>SUM(L19:L20)</f>
        <v>8847237.9299999997</v>
      </c>
      <c r="M21" s="688"/>
      <c r="N21" s="769"/>
    </row>
    <row r="22" spans="2:14" x14ac:dyDescent="0.2">
      <c r="B22" s="646"/>
      <c r="C22" s="695"/>
      <c r="D22" s="696" t="s">
        <v>389</v>
      </c>
      <c r="E22" s="697"/>
      <c r="F22" s="815">
        <f>IF('geg ll'!G71=0,0,+F21/'geg ll'!G71)</f>
        <v>0</v>
      </c>
      <c r="G22" s="1605"/>
      <c r="H22" s="815">
        <f>IF('geg ll'!I71=0,0,+H21/'geg ll'!I71)</f>
        <v>551.71265908261989</v>
      </c>
      <c r="I22" s="815">
        <f>IF('geg ll'!J71=0,0,+I21/'geg ll'!J71)</f>
        <v>569.97805308832687</v>
      </c>
      <c r="J22" s="815">
        <f>IF('geg ll'!K71=0,0,+J21/'geg ll'!K71)</f>
        <v>568.86075368475247</v>
      </c>
      <c r="K22" s="815">
        <f>IF('geg ll'!L71=0,0,+K21/'geg ll'!L71)</f>
        <v>569.26089399497971</v>
      </c>
      <c r="L22" s="815">
        <f>IF('geg ll'!M71=0,0,+L21/'geg ll'!M71)</f>
        <v>569.43025873720796</v>
      </c>
      <c r="M22" s="688"/>
      <c r="N22" s="769"/>
    </row>
    <row r="23" spans="2:14" x14ac:dyDescent="0.2">
      <c r="B23" s="646"/>
      <c r="C23" s="688"/>
      <c r="D23" s="688"/>
      <c r="E23" s="688"/>
      <c r="F23" s="689"/>
      <c r="G23" s="1603"/>
      <c r="H23" s="689"/>
      <c r="I23" s="689"/>
      <c r="J23" s="689"/>
      <c r="K23" s="689"/>
      <c r="L23" s="689"/>
      <c r="M23" s="688"/>
      <c r="N23" s="769"/>
    </row>
    <row r="24" spans="2:14" x14ac:dyDescent="0.2">
      <c r="B24" s="646"/>
      <c r="C24" s="688"/>
      <c r="D24" s="691" t="s">
        <v>545</v>
      </c>
      <c r="E24" s="688"/>
      <c r="F24" s="689"/>
      <c r="G24" s="1603"/>
      <c r="H24" s="689"/>
      <c r="I24" s="689"/>
      <c r="J24" s="689"/>
      <c r="K24" s="689"/>
      <c r="L24" s="689"/>
      <c r="M24" s="688"/>
      <c r="N24" s="769"/>
    </row>
    <row r="25" spans="2:14" x14ac:dyDescent="0.2">
      <c r="B25" s="646"/>
      <c r="C25" s="688"/>
      <c r="D25" s="688" t="s">
        <v>545</v>
      </c>
      <c r="E25" s="688"/>
      <c r="F25" s="692">
        <f>+pers!G117</f>
        <v>0</v>
      </c>
      <c r="G25" s="729"/>
      <c r="H25" s="692">
        <f>+pers!I117</f>
        <v>76870.768333333341</v>
      </c>
      <c r="I25" s="692">
        <f>+pers!J117</f>
        <v>82608.680000000008</v>
      </c>
      <c r="J25" s="692">
        <f>+pers!K117</f>
        <v>88331.32</v>
      </c>
      <c r="K25" s="692">
        <f>+pers!L117</f>
        <v>94548.300000000017</v>
      </c>
      <c r="L25" s="692">
        <f>+pers!M117</f>
        <v>101242.68000000001</v>
      </c>
      <c r="M25" s="688"/>
      <c r="N25" s="769"/>
    </row>
    <row r="26" spans="2:14" x14ac:dyDescent="0.2">
      <c r="B26" s="647"/>
      <c r="C26" s="688"/>
      <c r="D26" s="693" t="s">
        <v>71</v>
      </c>
      <c r="E26" s="698"/>
      <c r="F26" s="694">
        <f t="shared" ref="F26:K26" si="2">SUM(F25:F25)</f>
        <v>0</v>
      </c>
      <c r="G26" s="1604"/>
      <c r="H26" s="694">
        <f t="shared" si="2"/>
        <v>76870.768333333341</v>
      </c>
      <c r="I26" s="694">
        <f t="shared" si="2"/>
        <v>82608.680000000008</v>
      </c>
      <c r="J26" s="694">
        <f t="shared" si="2"/>
        <v>88331.32</v>
      </c>
      <c r="K26" s="694">
        <f t="shared" si="2"/>
        <v>94548.300000000017</v>
      </c>
      <c r="L26" s="694">
        <f>SUM(L25:L25)</f>
        <v>101242.68000000001</v>
      </c>
      <c r="M26" s="688"/>
      <c r="N26" s="769"/>
    </row>
    <row r="27" spans="2:14" x14ac:dyDescent="0.2">
      <c r="B27" s="646"/>
      <c r="C27" s="695"/>
      <c r="D27" s="696" t="s">
        <v>389</v>
      </c>
      <c r="E27" s="697"/>
      <c r="F27" s="815">
        <f>IF('geg ll'!G$71=0,0,+F26/'geg ll'!G$71)</f>
        <v>0</v>
      </c>
      <c r="G27" s="1605"/>
      <c r="H27" s="815">
        <f>IF('geg ll'!I$71=0,0,+H26/'geg ll'!I$71)</f>
        <v>4.9475940228701383</v>
      </c>
      <c r="I27" s="815">
        <f>IF('geg ll'!J$71=0,0,+I26/'geg ll'!J$71)</f>
        <v>5.3169003025037016</v>
      </c>
      <c r="J27" s="815">
        <f>IF('geg ll'!K$71=0,0,+J26/'geg ll'!K$71)</f>
        <v>5.6852236596511556</v>
      </c>
      <c r="K27" s="815">
        <f>IF('geg ll'!L$71=0,0,+K26/'geg ll'!L$71)</f>
        <v>6.0853639698783564</v>
      </c>
      <c r="L27" s="815">
        <f>IF('geg ll'!M$71=0,0,+L26/'geg ll'!M$71)</f>
        <v>6.5162309326124737</v>
      </c>
      <c r="M27" s="688"/>
      <c r="N27" s="769"/>
    </row>
    <row r="28" spans="2:14" x14ac:dyDescent="0.2">
      <c r="B28" s="646"/>
      <c r="C28" s="688"/>
      <c r="D28" s="688"/>
      <c r="E28" s="688"/>
      <c r="F28" s="699"/>
      <c r="G28" s="729"/>
      <c r="H28" s="699"/>
      <c r="I28" s="699"/>
      <c r="J28" s="699"/>
      <c r="K28" s="699"/>
      <c r="L28" s="699"/>
      <c r="M28" s="688"/>
      <c r="N28" s="769"/>
    </row>
    <row r="29" spans="2:14" x14ac:dyDescent="0.2">
      <c r="B29" s="646"/>
      <c r="C29" s="688"/>
      <c r="D29" s="701" t="s">
        <v>393</v>
      </c>
      <c r="E29" s="688"/>
      <c r="F29" s="699"/>
      <c r="G29" s="729"/>
      <c r="H29" s="699"/>
      <c r="I29" s="699"/>
      <c r="J29" s="699"/>
      <c r="K29" s="699"/>
      <c r="L29" s="699"/>
      <c r="M29" s="688"/>
      <c r="N29" s="769"/>
    </row>
    <row r="30" spans="2:14" x14ac:dyDescent="0.2">
      <c r="B30" s="646"/>
      <c r="C30" s="688"/>
      <c r="D30" s="702" t="s">
        <v>434</v>
      </c>
      <c r="E30" s="688"/>
      <c r="F30" s="692">
        <f>+mat!J122</f>
        <v>0</v>
      </c>
      <c r="G30" s="729"/>
      <c r="H30" s="692">
        <f>+mat!K122</f>
        <v>0</v>
      </c>
      <c r="I30" s="692">
        <f>+mat!L122</f>
        <v>0</v>
      </c>
      <c r="J30" s="692">
        <f>+mat!M122</f>
        <v>0</v>
      </c>
      <c r="K30" s="692">
        <f>+mat!N122</f>
        <v>0</v>
      </c>
      <c r="L30" s="692">
        <f>+mat!O122</f>
        <v>0</v>
      </c>
      <c r="M30" s="688"/>
      <c r="N30" s="769"/>
    </row>
    <row r="31" spans="2:14" x14ac:dyDescent="0.2">
      <c r="B31" s="646"/>
      <c r="C31" s="688"/>
      <c r="D31" s="702" t="s">
        <v>435</v>
      </c>
      <c r="E31" s="688"/>
      <c r="F31" s="692">
        <f>+mat!J129</f>
        <v>0</v>
      </c>
      <c r="G31" s="729"/>
      <c r="H31" s="692">
        <f>+mat!K129</f>
        <v>0</v>
      </c>
      <c r="I31" s="692">
        <f>+mat!L129</f>
        <v>0</v>
      </c>
      <c r="J31" s="692">
        <f>+mat!M129</f>
        <v>0</v>
      </c>
      <c r="K31" s="692">
        <f>+mat!N129</f>
        <v>0</v>
      </c>
      <c r="L31" s="692">
        <f>+mat!O129</f>
        <v>0</v>
      </c>
      <c r="M31" s="688"/>
      <c r="N31" s="769"/>
    </row>
    <row r="32" spans="2:14" x14ac:dyDescent="0.2">
      <c r="B32" s="646"/>
      <c r="C32" s="688"/>
      <c r="D32" s="702" t="s">
        <v>394</v>
      </c>
      <c r="E32" s="688"/>
      <c r="F32" s="692">
        <f>+act!F30</f>
        <v>0</v>
      </c>
      <c r="G32" s="729"/>
      <c r="H32" s="692">
        <f>+act!F30</f>
        <v>0</v>
      </c>
      <c r="I32" s="692">
        <f>+act!G30</f>
        <v>0</v>
      </c>
      <c r="J32" s="692">
        <f>+act!H30</f>
        <v>0</v>
      </c>
      <c r="K32" s="692">
        <f>+act!I30</f>
        <v>0</v>
      </c>
      <c r="L32" s="692">
        <f>+act!J30</f>
        <v>0</v>
      </c>
      <c r="M32" s="688"/>
      <c r="N32" s="769"/>
    </row>
    <row r="33" spans="2:14" x14ac:dyDescent="0.2">
      <c r="B33" s="647"/>
      <c r="C33" s="688"/>
      <c r="D33" s="693" t="s">
        <v>71</v>
      </c>
      <c r="E33" s="698"/>
      <c r="F33" s="694">
        <f t="shared" ref="F33:K33" si="3">SUM(F30:F32)</f>
        <v>0</v>
      </c>
      <c r="G33" s="1604"/>
      <c r="H33" s="694">
        <f t="shared" si="3"/>
        <v>0</v>
      </c>
      <c r="I33" s="694">
        <f t="shared" si="3"/>
        <v>0</v>
      </c>
      <c r="J33" s="694">
        <f t="shared" si="3"/>
        <v>0</v>
      </c>
      <c r="K33" s="694">
        <f t="shared" si="3"/>
        <v>0</v>
      </c>
      <c r="L33" s="694">
        <f>SUM(L30:L32)</f>
        <v>0</v>
      </c>
      <c r="M33" s="688"/>
      <c r="N33" s="769"/>
    </row>
    <row r="34" spans="2:14" x14ac:dyDescent="0.2">
      <c r="B34" s="646"/>
      <c r="C34" s="688"/>
      <c r="D34" s="696" t="s">
        <v>389</v>
      </c>
      <c r="E34" s="697"/>
      <c r="F34" s="815">
        <f>IF('geg ll'!G$71=0,0,+F33/'geg ll'!G$71)</f>
        <v>0</v>
      </c>
      <c r="G34" s="1605"/>
      <c r="H34" s="815">
        <f>IF('geg ll'!I$71=0,0,+H33/'geg ll'!I$71)</f>
        <v>0</v>
      </c>
      <c r="I34" s="815">
        <f>IF('geg ll'!J$71=0,0,+I33/'geg ll'!J$71)</f>
        <v>0</v>
      </c>
      <c r="J34" s="815">
        <f>IF('geg ll'!K$71=0,0,+J33/'geg ll'!K$71)</f>
        <v>0</v>
      </c>
      <c r="K34" s="815">
        <f>IF('geg ll'!L$71=0,0,+K33/'geg ll'!L$71)</f>
        <v>0</v>
      </c>
      <c r="L34" s="815">
        <f>IF('geg ll'!M$71=0,0,+L33/'geg ll'!M$71)</f>
        <v>0</v>
      </c>
      <c r="M34" s="688"/>
      <c r="N34" s="769"/>
    </row>
    <row r="35" spans="2:14" x14ac:dyDescent="0.2">
      <c r="B35" s="646"/>
      <c r="C35" s="688"/>
      <c r="D35" s="702"/>
      <c r="E35" s="688"/>
      <c r="F35" s="699"/>
      <c r="G35" s="729"/>
      <c r="H35" s="699"/>
      <c r="I35" s="699"/>
      <c r="J35" s="699"/>
      <c r="K35" s="699"/>
      <c r="L35" s="699"/>
      <c r="M35" s="688"/>
      <c r="N35" s="769"/>
    </row>
    <row r="36" spans="2:14" x14ac:dyDescent="0.2">
      <c r="B36" s="634"/>
      <c r="C36" s="688"/>
      <c r="D36" s="703" t="s">
        <v>164</v>
      </c>
      <c r="E36" s="688"/>
      <c r="F36" s="699"/>
      <c r="G36" s="729"/>
      <c r="H36" s="699"/>
      <c r="I36" s="699"/>
      <c r="J36" s="699"/>
      <c r="K36" s="699"/>
      <c r="L36" s="699"/>
      <c r="M36" s="704"/>
      <c r="N36" s="769"/>
    </row>
    <row r="37" spans="2:14" x14ac:dyDescent="0.2">
      <c r="B37" s="634"/>
      <c r="C37" s="688"/>
      <c r="D37" s="705"/>
      <c r="E37" s="688"/>
      <c r="F37" s="699"/>
      <c r="G37" s="729"/>
      <c r="H37" s="699"/>
      <c r="I37" s="699"/>
      <c r="J37" s="699"/>
      <c r="K37" s="699"/>
      <c r="L37" s="699"/>
      <c r="M37" s="704"/>
      <c r="N37" s="769"/>
    </row>
    <row r="38" spans="2:14" x14ac:dyDescent="0.2">
      <c r="B38" s="634"/>
      <c r="C38" s="688"/>
      <c r="D38" s="705" t="s">
        <v>395</v>
      </c>
      <c r="E38" s="688"/>
      <c r="F38" s="706">
        <f>IF(F13=0,0,+bal!H32/F13)</f>
        <v>0</v>
      </c>
      <c r="G38" s="1607"/>
      <c r="H38" s="1618">
        <f>IF(H13=0,0,+bal!I32/H13)</f>
        <v>1.3824244755421503E-3</v>
      </c>
      <c r="I38" s="1618">
        <f>IF(I13=0,0,+bal!J32/I13)</f>
        <v>0.58700312443951208</v>
      </c>
      <c r="J38" s="1618">
        <f>IF(J13=0,0,+bal!K32/J13)</f>
        <v>1.1094353196340878</v>
      </c>
      <c r="K38" s="1618">
        <f>IF(K13=0,0,+bal!L32/K13)</f>
        <v>1.6700028564637346</v>
      </c>
      <c r="L38" s="1618">
        <f>IF(L13=0,0,+bal!M32/L13)</f>
        <v>2.2302612936745412</v>
      </c>
      <c r="M38" s="704"/>
      <c r="N38" s="769"/>
    </row>
    <row r="39" spans="2:14" x14ac:dyDescent="0.2">
      <c r="B39" s="634"/>
      <c r="C39" s="688"/>
      <c r="D39" s="705" t="s">
        <v>396</v>
      </c>
      <c r="E39" s="688"/>
      <c r="F39" s="706">
        <f>IF(F13=0,0,begr!F14/F13)</f>
        <v>0</v>
      </c>
      <c r="G39" s="1607"/>
      <c r="H39" s="706">
        <f>IF(H13=0,0,begr!H14/H13)</f>
        <v>1</v>
      </c>
      <c r="I39" s="706">
        <f>IF(I13=0,0,begr!I14/I13)</f>
        <v>1</v>
      </c>
      <c r="J39" s="706">
        <f>IF(J13=0,0,begr!J14/J13)</f>
        <v>1</v>
      </c>
      <c r="K39" s="706">
        <f>IF(K13=0,0,begr!K14/K13)</f>
        <v>1</v>
      </c>
      <c r="L39" s="706">
        <f>IF(L13=0,0,begr!L14/L13)</f>
        <v>1</v>
      </c>
      <c r="M39" s="704"/>
      <c r="N39" s="769"/>
    </row>
    <row r="40" spans="2:14" x14ac:dyDescent="0.2">
      <c r="B40" s="634"/>
      <c r="C40" s="688"/>
      <c r="D40" s="705" t="s">
        <v>397</v>
      </c>
      <c r="E40" s="688"/>
      <c r="F40" s="706">
        <f>IF(F13=0,0,begr!F17/F13)</f>
        <v>0</v>
      </c>
      <c r="G40" s="1607"/>
      <c r="H40" s="706">
        <f>IF(H13=0,0,begr!H17/H13)</f>
        <v>0</v>
      </c>
      <c r="I40" s="706">
        <f>IF(I13=0,0,begr!I17/I13)</f>
        <v>0</v>
      </c>
      <c r="J40" s="706">
        <f>IF(J13=0,0,begr!J17/J13)</f>
        <v>0</v>
      </c>
      <c r="K40" s="706">
        <f>IF(K13=0,0,begr!K17/K13)</f>
        <v>0</v>
      </c>
      <c r="L40" s="706">
        <f>IF(L13=0,0,begr!L17/L13)</f>
        <v>0</v>
      </c>
      <c r="M40" s="704"/>
      <c r="N40" s="769"/>
    </row>
    <row r="41" spans="2:14" x14ac:dyDescent="0.2">
      <c r="B41" s="634"/>
      <c r="C41" s="688"/>
      <c r="D41" s="705" t="s">
        <v>398</v>
      </c>
      <c r="E41" s="688"/>
      <c r="F41" s="706">
        <f>IF(F13=0,0,(begr!F22+begr!F43)/F13)</f>
        <v>0</v>
      </c>
      <c r="G41" s="1607"/>
      <c r="H41" s="706">
        <f>IF(H13=0,0,(begr!H22+begr!H43)/H13)</f>
        <v>0</v>
      </c>
      <c r="I41" s="706">
        <f>IF(I13=0,0,(begr!I22+begr!I43)/I13)</f>
        <v>0</v>
      </c>
      <c r="J41" s="706">
        <f>IF(J13=0,0,(begr!J22+begr!J43)/J13)</f>
        <v>0</v>
      </c>
      <c r="K41" s="706">
        <f>IF(K13=0,0,(begr!K22+begr!K43)/K13)</f>
        <v>0</v>
      </c>
      <c r="L41" s="706">
        <f>IF(L13=0,0,(begr!L22+begr!L43)/L13)</f>
        <v>0</v>
      </c>
      <c r="M41" s="704"/>
      <c r="N41" s="769"/>
    </row>
    <row r="42" spans="2:14" x14ac:dyDescent="0.2">
      <c r="B42" s="634"/>
      <c r="C42" s="688"/>
      <c r="D42" s="705" t="s">
        <v>399</v>
      </c>
      <c r="E42" s="707"/>
      <c r="F42" s="706">
        <f>IF(F13=0,0,act!F25/F13)</f>
        <v>0</v>
      </c>
      <c r="G42" s="1607"/>
      <c r="H42" s="1618">
        <f>IF(H13=0,0,act!H25/H13)</f>
        <v>2.7648489510843006E-3</v>
      </c>
      <c r="I42" s="1618">
        <f>IF(I13=0,0,act!I25/I13)</f>
        <v>0</v>
      </c>
      <c r="J42" s="1618">
        <f>IF(J13=0,0,act!J25/J13)</f>
        <v>0</v>
      </c>
      <c r="K42" s="1618">
        <f>IF(K13=0,0,act!K25/K13)</f>
        <v>0</v>
      </c>
      <c r="L42" s="1618">
        <f>IF(L13=0,0,act!L25/L13)</f>
        <v>0</v>
      </c>
      <c r="M42" s="704"/>
      <c r="N42" s="769"/>
    </row>
    <row r="43" spans="2:14" x14ac:dyDescent="0.2">
      <c r="B43" s="634"/>
      <c r="C43" s="688"/>
      <c r="D43" s="705"/>
      <c r="E43" s="707"/>
      <c r="F43" s="708"/>
      <c r="G43" s="1607"/>
      <c r="H43" s="708"/>
      <c r="I43" s="708"/>
      <c r="J43" s="708"/>
      <c r="K43" s="708"/>
      <c r="L43" s="708"/>
      <c r="M43" s="704"/>
      <c r="N43" s="769"/>
    </row>
    <row r="44" spans="2:14" x14ac:dyDescent="0.2">
      <c r="B44" s="634"/>
      <c r="C44" s="688"/>
      <c r="D44" s="709" t="s">
        <v>165</v>
      </c>
      <c r="E44" s="812" t="s">
        <v>543</v>
      </c>
      <c r="F44" s="710"/>
      <c r="G44" s="1608"/>
      <c r="H44" s="710"/>
      <c r="I44" s="710"/>
      <c r="J44" s="710"/>
      <c r="K44" s="710"/>
      <c r="L44" s="710"/>
      <c r="M44" s="704"/>
      <c r="N44" s="769"/>
    </row>
    <row r="45" spans="2:14" x14ac:dyDescent="0.2">
      <c r="B45" s="634"/>
      <c r="C45" s="711"/>
      <c r="D45" s="712" t="s">
        <v>400</v>
      </c>
      <c r="E45" s="707"/>
      <c r="F45" s="713">
        <f>+bal!H36</f>
        <v>27750</v>
      </c>
      <c r="G45" s="1609"/>
      <c r="H45" s="713">
        <f>+bal!I36</f>
        <v>27750</v>
      </c>
      <c r="I45" s="713">
        <f>+bal!J36</f>
        <v>11529219.735809159</v>
      </c>
      <c r="J45" s="713">
        <f>+bal!K36</f>
        <v>22314285.664108556</v>
      </c>
      <c r="K45" s="713">
        <f>+bal!L36</f>
        <v>33589088.196056083</v>
      </c>
      <c r="L45" s="713">
        <f>+bal!M36</f>
        <v>44857673.748003609</v>
      </c>
      <c r="M45" s="711"/>
      <c r="N45" s="769"/>
    </row>
    <row r="46" spans="2:14" x14ac:dyDescent="0.2">
      <c r="B46" s="634"/>
      <c r="C46" s="711"/>
      <c r="D46" s="712" t="s">
        <v>401</v>
      </c>
      <c r="E46" s="707"/>
      <c r="F46" s="713">
        <f>+bal!H25</f>
        <v>27750</v>
      </c>
      <c r="G46" s="1609"/>
      <c r="H46" s="713">
        <f>+bal!I25</f>
        <v>27750</v>
      </c>
      <c r="I46" s="713">
        <f>+bal!J25</f>
        <v>11529219.735809159</v>
      </c>
      <c r="J46" s="713">
        <f>+bal!K25</f>
        <v>22313240.764108557</v>
      </c>
      <c r="K46" s="713">
        <f>+bal!L25</f>
        <v>33586580.436056085</v>
      </c>
      <c r="L46" s="713">
        <f>+bal!M25</f>
        <v>44855165.988003612</v>
      </c>
      <c r="M46" s="711"/>
      <c r="N46" s="769"/>
    </row>
    <row r="47" spans="2:14" x14ac:dyDescent="0.2">
      <c r="B47" s="634"/>
      <c r="C47" s="711"/>
      <c r="D47" s="712"/>
      <c r="E47" s="707"/>
      <c r="F47" s="714">
        <f t="shared" ref="F47:K47" si="4">IF(F46=0,0,F45/F46)</f>
        <v>1</v>
      </c>
      <c r="G47" s="1610"/>
      <c r="H47" s="714">
        <f t="shared" si="4"/>
        <v>1</v>
      </c>
      <c r="I47" s="714">
        <f t="shared" si="4"/>
        <v>1</v>
      </c>
      <c r="J47" s="714">
        <f t="shared" si="4"/>
        <v>1.0000468286974109</v>
      </c>
      <c r="K47" s="714">
        <f t="shared" si="4"/>
        <v>1.0000746655350869</v>
      </c>
      <c r="L47" s="714">
        <f>IF(L46=0,0,L45/L46)</f>
        <v>1.0000559079415885</v>
      </c>
      <c r="M47" s="711"/>
      <c r="N47" s="769"/>
    </row>
    <row r="48" spans="2:14" x14ac:dyDescent="0.2">
      <c r="B48" s="634"/>
      <c r="C48" s="688"/>
      <c r="D48" s="709" t="s">
        <v>702</v>
      </c>
      <c r="E48" s="693"/>
      <c r="F48" s="710"/>
      <c r="G48" s="1608"/>
      <c r="H48" s="710"/>
      <c r="I48" s="710"/>
      <c r="J48" s="710"/>
      <c r="K48" s="710"/>
      <c r="L48" s="710"/>
      <c r="M48" s="704"/>
      <c r="N48" s="847"/>
    </row>
    <row r="49" spans="2:14" x14ac:dyDescent="0.2">
      <c r="B49" s="634"/>
      <c r="C49" s="711"/>
      <c r="D49" s="712" t="s">
        <v>712</v>
      </c>
      <c r="E49" s="707"/>
      <c r="F49" s="713">
        <f>bal!H36+bal!H41</f>
        <v>27750</v>
      </c>
      <c r="G49" s="1609"/>
      <c r="H49" s="713">
        <f>bal!I36+bal!I41</f>
        <v>27750</v>
      </c>
      <c r="I49" s="713">
        <f>bal!J36+bal!J41</f>
        <v>11529219.735809159</v>
      </c>
      <c r="J49" s="713">
        <f>bal!K36+bal!K41</f>
        <v>22313240.764108557</v>
      </c>
      <c r="K49" s="713">
        <f>bal!L36+bal!L41</f>
        <v>33586580.436056085</v>
      </c>
      <c r="L49" s="713">
        <f>bal!M36+bal!M41</f>
        <v>44855165.988003612</v>
      </c>
      <c r="M49" s="711"/>
      <c r="N49" s="847"/>
    </row>
    <row r="50" spans="2:14" x14ac:dyDescent="0.2">
      <c r="B50" s="634"/>
      <c r="C50" s="711"/>
      <c r="D50" s="712" t="s">
        <v>401</v>
      </c>
      <c r="E50" s="707"/>
      <c r="F50" s="713">
        <f>bal!H25</f>
        <v>27750</v>
      </c>
      <c r="G50" s="1609"/>
      <c r="H50" s="713">
        <f>bal!I25</f>
        <v>27750</v>
      </c>
      <c r="I50" s="713">
        <f>bal!J25</f>
        <v>11529219.735809159</v>
      </c>
      <c r="J50" s="713">
        <f>bal!K25</f>
        <v>22313240.764108557</v>
      </c>
      <c r="K50" s="713">
        <f>bal!L25</f>
        <v>33586580.436056085</v>
      </c>
      <c r="L50" s="713">
        <f>bal!M25</f>
        <v>44855165.988003612</v>
      </c>
      <c r="M50" s="711"/>
      <c r="N50" s="847"/>
    </row>
    <row r="51" spans="2:14" x14ac:dyDescent="0.2">
      <c r="B51" s="634"/>
      <c r="C51" s="711"/>
      <c r="D51" s="712"/>
      <c r="E51" s="707"/>
      <c r="F51" s="714">
        <f t="shared" ref="F51:K51" si="5">IF(F50=0,0,F49/F50)</f>
        <v>1</v>
      </c>
      <c r="G51" s="1610"/>
      <c r="H51" s="714">
        <f t="shared" si="5"/>
        <v>1</v>
      </c>
      <c r="I51" s="714">
        <f t="shared" si="5"/>
        <v>1</v>
      </c>
      <c r="J51" s="714">
        <f t="shared" si="5"/>
        <v>1</v>
      </c>
      <c r="K51" s="714">
        <f t="shared" si="5"/>
        <v>1</v>
      </c>
      <c r="L51" s="714">
        <f>IF(L50=0,0,L49/L50)</f>
        <v>1</v>
      </c>
      <c r="M51" s="711"/>
      <c r="N51" s="847"/>
    </row>
    <row r="52" spans="2:14" x14ac:dyDescent="0.2">
      <c r="B52" s="634"/>
      <c r="C52" s="688"/>
      <c r="D52" s="709" t="s">
        <v>166</v>
      </c>
      <c r="E52" s="70" t="s">
        <v>237</v>
      </c>
      <c r="F52" s="699"/>
      <c r="G52" s="729"/>
      <c r="H52" s="699"/>
      <c r="I52" s="699"/>
      <c r="J52" s="699"/>
      <c r="K52" s="699"/>
      <c r="L52" s="699"/>
      <c r="M52" s="704"/>
      <c r="N52" s="769"/>
    </row>
    <row r="53" spans="2:14" x14ac:dyDescent="0.2">
      <c r="B53" s="634"/>
      <c r="C53" s="688"/>
      <c r="D53" s="712" t="s">
        <v>402</v>
      </c>
      <c r="E53" s="707"/>
      <c r="F53" s="713">
        <f>+bal!H23</f>
        <v>13875</v>
      </c>
      <c r="G53" s="1609"/>
      <c r="H53" s="713">
        <f>+bal!I23</f>
        <v>0</v>
      </c>
      <c r="I53" s="713">
        <f>+bal!J23</f>
        <v>11515344.735809159</v>
      </c>
      <c r="J53" s="713">
        <f>+bal!K23</f>
        <v>22313240.764108557</v>
      </c>
      <c r="K53" s="713">
        <f>+bal!L23</f>
        <v>33544955.436056085</v>
      </c>
      <c r="L53" s="713">
        <f>+bal!M23</f>
        <v>44827415.988003612</v>
      </c>
      <c r="M53" s="704"/>
      <c r="N53" s="769"/>
    </row>
    <row r="54" spans="2:14" x14ac:dyDescent="0.2">
      <c r="B54" s="634"/>
      <c r="C54" s="688"/>
      <c r="D54" s="712" t="s">
        <v>204</v>
      </c>
      <c r="E54" s="707"/>
      <c r="F54" s="713">
        <f>+bal!H54</f>
        <v>0</v>
      </c>
      <c r="G54" s="1609"/>
      <c r="H54" s="713">
        <f>+bal!I54</f>
        <v>0</v>
      </c>
      <c r="I54" s="713">
        <f>+bal!J54</f>
        <v>0</v>
      </c>
      <c r="J54" s="713">
        <f>+bal!K54</f>
        <v>0</v>
      </c>
      <c r="K54" s="713">
        <f>+bal!L54</f>
        <v>0</v>
      </c>
      <c r="L54" s="713">
        <f>+bal!M54</f>
        <v>0</v>
      </c>
      <c r="M54" s="704"/>
      <c r="N54" s="769"/>
    </row>
    <row r="55" spans="2:14" x14ac:dyDescent="0.2">
      <c r="B55" s="634"/>
      <c r="C55" s="688"/>
      <c r="D55" s="712"/>
      <c r="E55" s="707"/>
      <c r="F55" s="715">
        <f t="shared" ref="F55:K55" si="6">IF(F54=0,0,F53/F54)</f>
        <v>0</v>
      </c>
      <c r="G55" s="1611"/>
      <c r="H55" s="715">
        <f t="shared" si="6"/>
        <v>0</v>
      </c>
      <c r="I55" s="715">
        <f t="shared" si="6"/>
        <v>0</v>
      </c>
      <c r="J55" s="715">
        <f t="shared" si="6"/>
        <v>0</v>
      </c>
      <c r="K55" s="715">
        <f t="shared" si="6"/>
        <v>0</v>
      </c>
      <c r="L55" s="715">
        <f>IF(L54=0,0,L53/L54)</f>
        <v>0</v>
      </c>
      <c r="M55" s="704"/>
      <c r="N55" s="769"/>
    </row>
    <row r="56" spans="2:14" x14ac:dyDescent="0.2">
      <c r="B56" s="634"/>
      <c r="C56" s="688"/>
      <c r="D56" s="709" t="s">
        <v>226</v>
      </c>
      <c r="E56" s="813" t="s">
        <v>238</v>
      </c>
      <c r="F56" s="699"/>
      <c r="G56" s="729"/>
      <c r="H56" s="699"/>
      <c r="I56" s="699"/>
      <c r="J56" s="699"/>
      <c r="K56" s="699"/>
      <c r="L56" s="699"/>
      <c r="M56" s="704"/>
      <c r="N56" s="769"/>
    </row>
    <row r="57" spans="2:14" x14ac:dyDescent="0.2">
      <c r="B57" s="634"/>
      <c r="C57" s="688"/>
      <c r="D57" s="702" t="s">
        <v>403</v>
      </c>
      <c r="E57" s="707"/>
      <c r="F57" s="713">
        <f>begr!F50</f>
        <v>0</v>
      </c>
      <c r="G57" s="1609"/>
      <c r="H57" s="713">
        <f>begr!H50</f>
        <v>11501469.735809159</v>
      </c>
      <c r="I57" s="713">
        <f>begr!I50</f>
        <v>10785065.928299397</v>
      </c>
      <c r="J57" s="713">
        <f>begr!J50</f>
        <v>11274802.531947529</v>
      </c>
      <c r="K57" s="713">
        <f>begr!K50</f>
        <v>11268585.551947528</v>
      </c>
      <c r="L57" s="713">
        <f>begr!L50</f>
        <v>11265954.131947529</v>
      </c>
      <c r="M57" s="704"/>
      <c r="N57" s="769"/>
    </row>
    <row r="58" spans="2:14" x14ac:dyDescent="0.2">
      <c r="B58" s="634"/>
      <c r="C58" s="688"/>
      <c r="D58" s="712" t="s">
        <v>387</v>
      </c>
      <c r="E58" s="707"/>
      <c r="F58" s="713">
        <f>begr!F23</f>
        <v>0</v>
      </c>
      <c r="G58" s="1609"/>
      <c r="H58" s="713">
        <f>begr!H23</f>
        <v>20073429.319975823</v>
      </c>
      <c r="I58" s="713">
        <f>begr!I23</f>
        <v>19640814.939132731</v>
      </c>
      <c r="J58" s="713">
        <f>begr!J23</f>
        <v>20113192.061947528</v>
      </c>
      <c r="K58" s="713">
        <f>begr!K23</f>
        <v>20113192.061947528</v>
      </c>
      <c r="L58" s="713">
        <f>begr!L23</f>
        <v>20113192.061947528</v>
      </c>
      <c r="M58" s="704"/>
      <c r="N58" s="769"/>
    </row>
    <row r="59" spans="2:14" x14ac:dyDescent="0.2">
      <c r="B59" s="634"/>
      <c r="C59" s="688"/>
      <c r="D59" s="712"/>
      <c r="E59" s="707"/>
      <c r="F59" s="716">
        <f t="shared" ref="F59:K59" si="7">IF(F58=0,0,F57/F58)</f>
        <v>0</v>
      </c>
      <c r="G59" s="1612"/>
      <c r="H59" s="716">
        <f t="shared" si="7"/>
        <v>0.5729698474771131</v>
      </c>
      <c r="I59" s="716">
        <f t="shared" si="7"/>
        <v>0.54911499149717191</v>
      </c>
      <c r="J59" s="716">
        <f t="shared" si="7"/>
        <v>0.56056753682964666</v>
      </c>
      <c r="K59" s="716">
        <f t="shared" si="7"/>
        <v>0.56025843721080693</v>
      </c>
      <c r="L59" s="716">
        <f>IF(L58=0,0,L57/L58)</f>
        <v>0.56012760665979855</v>
      </c>
      <c r="M59" s="704"/>
      <c r="N59" s="769"/>
    </row>
    <row r="60" spans="2:14" x14ac:dyDescent="0.2">
      <c r="B60" s="634"/>
      <c r="C60" s="688"/>
      <c r="D60" s="717" t="s">
        <v>404</v>
      </c>
      <c r="E60" s="814">
        <v>0.05</v>
      </c>
      <c r="F60" s="718"/>
      <c r="G60" s="1613"/>
      <c r="H60" s="718"/>
      <c r="I60" s="718"/>
      <c r="J60" s="718"/>
      <c r="K60" s="718"/>
      <c r="L60" s="718"/>
      <c r="M60" s="704"/>
      <c r="N60" s="769"/>
    </row>
    <row r="61" spans="2:14" x14ac:dyDescent="0.2">
      <c r="B61" s="634"/>
      <c r="C61" s="688"/>
      <c r="D61" s="712" t="s">
        <v>405</v>
      </c>
      <c r="E61" s="707"/>
      <c r="F61" s="692">
        <f>+bal!H36</f>
        <v>27750</v>
      </c>
      <c r="G61" s="729"/>
      <c r="H61" s="692">
        <f>+bal!I36</f>
        <v>27750</v>
      </c>
      <c r="I61" s="692">
        <f>+bal!J36</f>
        <v>11529219.735809159</v>
      </c>
      <c r="J61" s="692">
        <f>+bal!K36</f>
        <v>22314285.664108556</v>
      </c>
      <c r="K61" s="692">
        <f>+bal!L36</f>
        <v>33589088.196056083</v>
      </c>
      <c r="L61" s="692">
        <f>+bal!M36</f>
        <v>44857673.748003609</v>
      </c>
      <c r="M61" s="704"/>
      <c r="N61" s="769"/>
    </row>
    <row r="62" spans="2:14" x14ac:dyDescent="0.2">
      <c r="B62" s="634"/>
      <c r="C62" s="688"/>
      <c r="D62" s="712" t="s">
        <v>406</v>
      </c>
      <c r="E62" s="707"/>
      <c r="F62" s="692">
        <f>+bal!H15</f>
        <v>13875</v>
      </c>
      <c r="G62" s="729"/>
      <c r="H62" s="692">
        <f>+bal!I15</f>
        <v>27750</v>
      </c>
      <c r="I62" s="692">
        <f>+bal!J15</f>
        <v>13875</v>
      </c>
      <c r="J62" s="692">
        <f>+bal!K15</f>
        <v>0</v>
      </c>
      <c r="K62" s="692">
        <f>+bal!L15</f>
        <v>41625</v>
      </c>
      <c r="L62" s="692">
        <f>+bal!M15</f>
        <v>27750</v>
      </c>
      <c r="M62" s="704"/>
      <c r="N62" s="769"/>
    </row>
    <row r="63" spans="2:14" x14ac:dyDescent="0.2">
      <c r="B63" s="634"/>
      <c r="C63" s="688"/>
      <c r="D63" s="712" t="s">
        <v>807</v>
      </c>
      <c r="E63" s="707"/>
      <c r="F63" s="692">
        <f>begr!F35+begr!F44</f>
        <v>0</v>
      </c>
      <c r="G63" s="729"/>
      <c r="H63" s="692">
        <f>begr!H35+begr!H44</f>
        <v>8571959.5841666646</v>
      </c>
      <c r="I63" s="692">
        <f>begr!I35+begr!I44</f>
        <v>8855749.0108333342</v>
      </c>
      <c r="J63" s="692">
        <f>begr!J35+begr!J44</f>
        <v>8838389.5299999993</v>
      </c>
      <c r="K63" s="692">
        <f>begr!K35+begr!K44</f>
        <v>8844606.5099999998</v>
      </c>
      <c r="L63" s="692">
        <f>begr!L35+begr!L44</f>
        <v>8847237.9299999997</v>
      </c>
      <c r="M63" s="704"/>
      <c r="N63" s="769"/>
    </row>
    <row r="64" spans="2:14" x14ac:dyDescent="0.2">
      <c r="B64" s="634"/>
      <c r="C64" s="688"/>
      <c r="D64" s="712"/>
      <c r="E64" s="707"/>
      <c r="F64" s="716">
        <f t="shared" ref="F64:K64" si="8">IF(F63=0,0,(F61-F62)/F63)</f>
        <v>0</v>
      </c>
      <c r="G64" s="1612"/>
      <c r="H64" s="716">
        <f t="shared" si="8"/>
        <v>0</v>
      </c>
      <c r="I64" s="716">
        <f t="shared" si="8"/>
        <v>1.3003241986332621</v>
      </c>
      <c r="J64" s="716">
        <f t="shared" si="8"/>
        <v>2.5247004093186374</v>
      </c>
      <c r="K64" s="716">
        <f t="shared" si="8"/>
        <v>3.792985381331123</v>
      </c>
      <c r="L64" s="716">
        <f>IF(L63=0,0,(L61-L62)/L63)</f>
        <v>5.0671095434192317</v>
      </c>
      <c r="M64" s="704"/>
      <c r="N64" s="769"/>
    </row>
    <row r="65" spans="2:14" hidden="1" x14ac:dyDescent="0.2">
      <c r="B65" s="634"/>
      <c r="C65" s="704"/>
      <c r="D65" s="719" t="s">
        <v>407</v>
      </c>
      <c r="E65" s="814" t="s">
        <v>232</v>
      </c>
      <c r="F65" s="699"/>
      <c r="G65" s="729"/>
      <c r="H65" s="699"/>
      <c r="I65" s="699"/>
      <c r="J65" s="699"/>
      <c r="K65" s="699"/>
      <c r="L65" s="699"/>
      <c r="M65" s="704"/>
      <c r="N65" s="769"/>
    </row>
    <row r="66" spans="2:14" hidden="1" x14ac:dyDescent="0.2">
      <c r="B66" s="634"/>
      <c r="C66" s="704"/>
      <c r="D66" s="720" t="s">
        <v>408</v>
      </c>
      <c r="E66" s="704"/>
      <c r="F66" s="721">
        <f>+bal!H25</f>
        <v>27750</v>
      </c>
      <c r="G66" s="728"/>
      <c r="H66" s="721">
        <f>+bal!J25</f>
        <v>11529219.735809159</v>
      </c>
      <c r="I66" s="721">
        <f>+bal!K25</f>
        <v>22313240.764108557</v>
      </c>
      <c r="J66" s="721">
        <f>+bal!L25</f>
        <v>33586580.436056085</v>
      </c>
      <c r="K66" s="721">
        <f>+bal!M25</f>
        <v>44855165.988003612</v>
      </c>
      <c r="L66" s="721" t="e">
        <f>+bal!#REF!</f>
        <v>#REF!</v>
      </c>
      <c r="M66" s="704"/>
      <c r="N66" s="769"/>
    </row>
    <row r="67" spans="2:14" hidden="1" x14ac:dyDescent="0.2">
      <c r="B67" s="634"/>
      <c r="C67" s="704"/>
      <c r="D67" s="720" t="s">
        <v>409</v>
      </c>
      <c r="E67" s="704"/>
      <c r="F67" s="692" t="e">
        <f>+begr!#REF!+begr!#REF!</f>
        <v>#REF!</v>
      </c>
      <c r="G67" s="729"/>
      <c r="H67" s="692" t="e">
        <f>+begr!#REF!+begr!#REF!</f>
        <v>#REF!</v>
      </c>
      <c r="I67" s="692" t="e">
        <f>+begr!#REF!+begr!#REF!</f>
        <v>#REF!</v>
      </c>
      <c r="J67" s="692" t="e">
        <f>+begr!#REF!+begr!#REF!</f>
        <v>#REF!</v>
      </c>
      <c r="K67" s="692" t="e">
        <f>+begr!#REF!+begr!#REF!</f>
        <v>#REF!</v>
      </c>
      <c r="L67" s="692" t="e">
        <f>+begr!#REF!+begr!#REF!</f>
        <v>#REF!</v>
      </c>
      <c r="M67" s="704"/>
      <c r="N67" s="769"/>
    </row>
    <row r="68" spans="2:14" hidden="1" x14ac:dyDescent="0.2">
      <c r="B68" s="634"/>
      <c r="C68" s="704"/>
      <c r="D68" s="720"/>
      <c r="E68" s="704"/>
      <c r="F68" s="722" t="e">
        <f t="shared" ref="F68:K68" si="9">F66/F67</f>
        <v>#REF!</v>
      </c>
      <c r="G68" s="1614"/>
      <c r="H68" s="722" t="e">
        <f t="shared" si="9"/>
        <v>#REF!</v>
      </c>
      <c r="I68" s="722" t="e">
        <f t="shared" si="9"/>
        <v>#REF!</v>
      </c>
      <c r="J68" s="722" t="e">
        <f t="shared" si="9"/>
        <v>#REF!</v>
      </c>
      <c r="K68" s="722" t="e">
        <f t="shared" si="9"/>
        <v>#REF!</v>
      </c>
      <c r="L68" s="722" t="e">
        <f>L66/L67</f>
        <v>#REF!</v>
      </c>
      <c r="M68" s="704"/>
      <c r="N68" s="769"/>
    </row>
    <row r="69" spans="2:14" x14ac:dyDescent="0.2">
      <c r="B69" s="634"/>
      <c r="C69" s="741"/>
      <c r="D69" s="742"/>
      <c r="E69" s="741"/>
      <c r="F69" s="743"/>
      <c r="G69" s="1615"/>
      <c r="H69" s="743"/>
      <c r="I69" s="743"/>
      <c r="J69" s="743"/>
      <c r="K69" s="743"/>
      <c r="L69" s="743"/>
      <c r="M69" s="741"/>
      <c r="N69" s="769"/>
    </row>
    <row r="70" spans="2:14" x14ac:dyDescent="0.2">
      <c r="B70" s="771"/>
      <c r="C70" s="772"/>
      <c r="D70" s="773"/>
      <c r="E70" s="774"/>
      <c r="F70" s="774"/>
      <c r="G70" s="774"/>
      <c r="H70" s="774"/>
      <c r="I70" s="774"/>
      <c r="J70" s="774"/>
      <c r="K70" s="774"/>
      <c r="L70" s="774"/>
      <c r="M70" s="774"/>
      <c r="N70" s="775"/>
    </row>
    <row r="71" spans="2:14" x14ac:dyDescent="0.2">
      <c r="B71" s="651"/>
      <c r="C71" s="780"/>
      <c r="D71" s="630"/>
      <c r="E71" s="629"/>
      <c r="F71" s="629"/>
      <c r="G71" s="629"/>
      <c r="H71" s="629"/>
      <c r="I71" s="629"/>
      <c r="J71" s="629"/>
      <c r="K71" s="629"/>
      <c r="L71" s="629"/>
      <c r="M71" s="629"/>
      <c r="N71" s="633"/>
    </row>
    <row r="72" spans="2:14" x14ac:dyDescent="0.2">
      <c r="B72" s="634"/>
      <c r="C72" s="752"/>
      <c r="D72" s="753"/>
      <c r="E72" s="754"/>
      <c r="F72" s="754"/>
      <c r="G72" s="754"/>
      <c r="H72" s="754"/>
      <c r="I72" s="754"/>
      <c r="J72" s="754"/>
      <c r="K72" s="754"/>
      <c r="L72" s="754"/>
      <c r="M72" s="754"/>
      <c r="N72" s="769"/>
    </row>
    <row r="73" spans="2:14" x14ac:dyDescent="0.2">
      <c r="B73" s="634"/>
      <c r="C73" s="688"/>
      <c r="D73" s="703" t="s">
        <v>410</v>
      </c>
      <c r="E73" s="723"/>
      <c r="F73" s="699"/>
      <c r="G73" s="699"/>
      <c r="H73" s="699"/>
      <c r="I73" s="699"/>
      <c r="J73" s="699"/>
      <c r="K73" s="699"/>
      <c r="L73" s="699"/>
      <c r="M73" s="704"/>
      <c r="N73" s="769"/>
    </row>
    <row r="74" spans="2:14" x14ac:dyDescent="0.2">
      <c r="B74" s="634"/>
      <c r="C74" s="688"/>
      <c r="D74" s="724"/>
      <c r="E74" s="723"/>
      <c r="F74" s="699"/>
      <c r="G74" s="699"/>
      <c r="H74" s="699"/>
      <c r="I74" s="699"/>
      <c r="J74" s="699"/>
      <c r="K74" s="699"/>
      <c r="L74" s="699"/>
      <c r="M74" s="704"/>
      <c r="N74" s="769"/>
    </row>
    <row r="75" spans="2:14" x14ac:dyDescent="0.2">
      <c r="B75" s="634"/>
      <c r="C75" s="689"/>
      <c r="D75" s="705" t="s">
        <v>411</v>
      </c>
      <c r="E75" s="688"/>
      <c r="F75" s="725">
        <f t="shared" ref="F75:K75" si="10">IF(F21=0,0,+F15/F21)</f>
        <v>0</v>
      </c>
      <c r="G75" s="1616"/>
      <c r="H75" s="725">
        <f t="shared" si="10"/>
        <v>2.341755012127404</v>
      </c>
      <c r="I75" s="725">
        <f t="shared" si="10"/>
        <v>2.2178603882185355</v>
      </c>
      <c r="J75" s="725">
        <f t="shared" si="10"/>
        <v>2.2756625507031178</v>
      </c>
      <c r="K75" s="725">
        <f t="shared" si="10"/>
        <v>2.2740629602014404</v>
      </c>
      <c r="L75" s="725">
        <f>IF(L21=0,0,+L15/L21)</f>
        <v>2.2733865892479201</v>
      </c>
      <c r="M75" s="726"/>
      <c r="N75" s="769"/>
    </row>
    <row r="76" spans="2:14" x14ac:dyDescent="0.2">
      <c r="B76" s="634"/>
      <c r="C76" s="688"/>
      <c r="D76" s="705" t="s">
        <v>412</v>
      </c>
      <c r="E76" s="723"/>
      <c r="F76" s="725" t="e">
        <f>pers!H104/pers!#REF!</f>
        <v>#REF!</v>
      </c>
      <c r="G76" s="1616"/>
      <c r="H76" s="725">
        <f>pers!I104/pers!I175</f>
        <v>2.2577302757801823</v>
      </c>
      <c r="I76" s="725">
        <f>pers!J104/pers!J175</f>
        <v>2.1374869685009443</v>
      </c>
      <c r="J76" s="725">
        <f>pers!K104/pers!K175</f>
        <v>2.1964743567411311</v>
      </c>
      <c r="K76" s="725">
        <f>pers!L104/pers!L175</f>
        <v>2.1949073629587517</v>
      </c>
      <c r="L76" s="725">
        <f>pers!M104/pers!M175</f>
        <v>2.1932225382351418</v>
      </c>
      <c r="M76" s="704"/>
      <c r="N76" s="769"/>
    </row>
    <row r="77" spans="2:14" x14ac:dyDescent="0.2">
      <c r="B77" s="634"/>
      <c r="C77" s="688"/>
      <c r="D77" s="705" t="s">
        <v>413</v>
      </c>
      <c r="E77" s="723"/>
      <c r="F77" s="725" t="e">
        <f>+mat!J207/mat!J212</f>
        <v>#DIV/0!</v>
      </c>
      <c r="G77" s="1616"/>
      <c r="H77" s="725">
        <f>+mat!K207/mat!K212</f>
        <v>2.1050241044581086</v>
      </c>
      <c r="I77" s="725">
        <f>+mat!L207/mat!L212</f>
        <v>2.0844106038659613</v>
      </c>
      <c r="J77" s="725">
        <f>+mat!M207/mat!M212</f>
        <v>2.0758048205509345</v>
      </c>
      <c r="K77" s="725">
        <f>+mat!N207/mat!N212</f>
        <v>2.0758048205509345</v>
      </c>
      <c r="L77" s="725">
        <f>+mat!O207/mat!O212</f>
        <v>2.0937164146631484</v>
      </c>
      <c r="M77" s="704"/>
      <c r="N77" s="769"/>
    </row>
    <row r="78" spans="2:14" x14ac:dyDescent="0.2">
      <c r="B78" s="634"/>
      <c r="C78" s="689"/>
      <c r="D78" s="705" t="s">
        <v>746</v>
      </c>
      <c r="E78" s="688"/>
      <c r="F78" s="692">
        <f>+mat!J212/'geg ll'!G71</f>
        <v>0</v>
      </c>
      <c r="G78" s="729"/>
      <c r="H78" s="692">
        <f>+mat!K212/'geg ll'!H71</f>
        <v>30.054717171717172</v>
      </c>
      <c r="I78" s="692">
        <f>+mat!L212/'geg ll'!I71</f>
        <v>30.441233185299609</v>
      </c>
      <c r="J78" s="692">
        <f>+mat!M212/'geg ll'!J71</f>
        <v>30.567435154791792</v>
      </c>
      <c r="K78" s="692">
        <f>+mat!N212/'geg ll'!K71</f>
        <v>30.567435154791792</v>
      </c>
      <c r="L78" s="692">
        <f>+mat!O212/'geg ll'!L71</f>
        <v>30.305932934285899</v>
      </c>
      <c r="M78" s="726"/>
      <c r="N78" s="769"/>
    </row>
    <row r="79" spans="2:14" x14ac:dyDescent="0.2">
      <c r="B79" s="634"/>
      <c r="C79" s="689"/>
      <c r="D79" s="705" t="s">
        <v>414</v>
      </c>
      <c r="E79" s="688"/>
      <c r="F79" s="692">
        <f>pers!H212/'geg ll'!G71</f>
        <v>506.66645732036733</v>
      </c>
      <c r="G79" s="729"/>
      <c r="H79" s="692">
        <f>pers!I212/'geg ll'!I71</f>
        <v>543.67706920040325</v>
      </c>
      <c r="I79" s="692">
        <f>pers!J212/'geg ll'!J71</f>
        <v>561.72492957670931</v>
      </c>
      <c r="J79" s="692">
        <f>pers!K212/'geg ll'!K71</f>
        <v>560.48142820364285</v>
      </c>
      <c r="K79" s="692">
        <f>pers!L212/'geg ll'!L71</f>
        <v>560.88156851387009</v>
      </c>
      <c r="L79" s="692">
        <f>pers!M212/'geg ll'!M71</f>
        <v>561.31243547660415</v>
      </c>
      <c r="M79" s="726"/>
      <c r="N79" s="769"/>
    </row>
    <row r="80" spans="2:14" x14ac:dyDescent="0.2">
      <c r="B80" s="634"/>
      <c r="C80" s="689"/>
      <c r="D80" s="705" t="s">
        <v>415</v>
      </c>
      <c r="E80" s="688"/>
      <c r="F80" s="692">
        <f>IF(F121=0,0,+F26/F121)</f>
        <v>0</v>
      </c>
      <c r="G80" s="729"/>
      <c r="H80" s="692">
        <f>IF(H121=0,0,+H26/H121)</f>
        <v>76870.768333333341</v>
      </c>
      <c r="I80" s="692">
        <f>IF(I121=0,0,+I26/I121)</f>
        <v>82608.680000000008</v>
      </c>
      <c r="J80" s="692">
        <f>IF(J121=0,0,+J26/J121)</f>
        <v>88331.32</v>
      </c>
      <c r="K80" s="692">
        <f>IF(K121=0,0,+K26/K121)</f>
        <v>94548.300000000017</v>
      </c>
      <c r="L80" s="692">
        <f>IF(L121=0,0,+L26/L121)</f>
        <v>101242.68000000001</v>
      </c>
      <c r="M80" s="704"/>
      <c r="N80" s="769"/>
    </row>
    <row r="81" spans="1:37" x14ac:dyDescent="0.2">
      <c r="B81" s="634"/>
      <c r="C81" s="689"/>
      <c r="D81" s="705"/>
      <c r="E81" s="688"/>
      <c r="F81" s="699"/>
      <c r="G81" s="729"/>
      <c r="H81" s="699"/>
      <c r="I81" s="699"/>
      <c r="J81" s="699"/>
      <c r="K81" s="699"/>
      <c r="L81" s="699"/>
      <c r="M81" s="726"/>
      <c r="N81" s="769"/>
    </row>
    <row r="82" spans="1:37" x14ac:dyDescent="0.2">
      <c r="B82" s="634"/>
      <c r="C82" s="689"/>
      <c r="D82" s="705" t="s">
        <v>416</v>
      </c>
      <c r="E82" s="688"/>
      <c r="F82" s="725">
        <f>IF(F15=0,0,pers!H211/F15)</f>
        <v>0</v>
      </c>
      <c r="G82" s="1616"/>
      <c r="H82" s="725">
        <f>IF(H15=0,0,pers!J211/H15)</f>
        <v>0.9293360124655109</v>
      </c>
      <c r="I82" s="725">
        <f>IF(I15=0,0,pers!K211/I15)</f>
        <v>0.97385663185694649</v>
      </c>
      <c r="J82" s="725">
        <f>IF(J15=0,0,pers!L211/J15)</f>
        <v>0.95098469823378851</v>
      </c>
      <c r="K82" s="725">
        <f>IF(K15=0,0,pers!M211/K15)</f>
        <v>0.95098469823378851</v>
      </c>
      <c r="L82" s="725">
        <f>IF(L15=0,0,pers!N211/L15)</f>
        <v>0.95098469823378828</v>
      </c>
      <c r="M82" s="726"/>
      <c r="N82" s="769"/>
    </row>
    <row r="83" spans="1:37" x14ac:dyDescent="0.2">
      <c r="B83" s="634"/>
      <c r="C83" s="689"/>
      <c r="D83" s="705" t="s">
        <v>417</v>
      </c>
      <c r="E83" s="688"/>
      <c r="F83" s="725">
        <f>IF(F21=0,0,pers!#REF!/F21)</f>
        <v>0</v>
      </c>
      <c r="G83" s="1616"/>
      <c r="H83" s="725">
        <f>IF(H21=0,0,pers!I175/H21)</f>
        <v>0.9854351903116052</v>
      </c>
      <c r="I83" s="725">
        <f>IF(I21=0,0,pers!J175/I21)</f>
        <v>0.98552027842668788</v>
      </c>
      <c r="J83" s="725">
        <f>IF(J21=0,0,pers!K175/J21)</f>
        <v>0.98526998843419389</v>
      </c>
      <c r="K83" s="725">
        <f>IF(K21=0,0,pers!L175/K21)</f>
        <v>0.98528034233599837</v>
      </c>
      <c r="L83" s="725">
        <f>IF(L21=0,0,pers!M175/L21)</f>
        <v>0.98574395523236469</v>
      </c>
      <c r="M83" s="704"/>
      <c r="N83" s="769"/>
    </row>
    <row r="84" spans="1:37" x14ac:dyDescent="0.2">
      <c r="B84" s="634"/>
      <c r="C84" s="689"/>
      <c r="D84" s="705" t="s">
        <v>418</v>
      </c>
      <c r="E84" s="688"/>
      <c r="F84" s="725">
        <f t="shared" ref="F84:K84" si="11">IF(F21=0,0,F26/F21)</f>
        <v>0</v>
      </c>
      <c r="G84" s="1616"/>
      <c r="H84" s="725">
        <f t="shared" si="11"/>
        <v>8.9677007431675192E-3</v>
      </c>
      <c r="I84" s="725">
        <f t="shared" si="11"/>
        <v>9.3282544366313797E-3</v>
      </c>
      <c r="J84" s="725">
        <f t="shared" si="11"/>
        <v>9.9940514841734985E-3</v>
      </c>
      <c r="K84" s="725">
        <f t="shared" si="11"/>
        <v>1.0689938539730472E-2</v>
      </c>
      <c r="L84" s="725">
        <f>IF(L21=0,0,L26/L21)</f>
        <v>1.1443422320168121E-2</v>
      </c>
      <c r="M84" s="726"/>
      <c r="N84" s="769"/>
    </row>
    <row r="85" spans="1:37" x14ac:dyDescent="0.2">
      <c r="B85" s="634"/>
      <c r="C85" s="689"/>
      <c r="D85" s="705" t="s">
        <v>419</v>
      </c>
      <c r="E85" s="688"/>
      <c r="F85" s="725">
        <f>IF(F15=0,0,mat!J207/F15)</f>
        <v>0</v>
      </c>
      <c r="G85" s="1616"/>
      <c r="H85" s="725">
        <f>IF(H15=0,0,mat!K207/H15)</f>
        <v>4.9923304332112804E-2</v>
      </c>
      <c r="I85" s="725">
        <f>IF(I15=0,0,mat!L207/I15)</f>
        <v>5.0194158513957358E-2</v>
      </c>
      <c r="J85" s="725">
        <f>IF(J15=0,0,mat!M207/J15)</f>
        <v>4.9015301766211612E-2</v>
      </c>
      <c r="K85" s="725">
        <f>IF(K15=0,0,mat!N207/K15)</f>
        <v>4.9015301766211612E-2</v>
      </c>
      <c r="L85" s="725">
        <f>IF(L15=0,0,mat!O207/L15)</f>
        <v>4.9015301766211612E-2</v>
      </c>
      <c r="M85" s="726"/>
      <c r="N85" s="769"/>
    </row>
    <row r="86" spans="1:37" x14ac:dyDescent="0.2">
      <c r="B86" s="634"/>
      <c r="C86" s="689"/>
      <c r="D86" s="705" t="s">
        <v>420</v>
      </c>
      <c r="E86" s="688"/>
      <c r="F86" s="725">
        <f>IF(F21=0,0,mat!J230/F21)</f>
        <v>0</v>
      </c>
      <c r="G86" s="1616"/>
      <c r="H86" s="725">
        <f>IF(H21=0,0,mat!K230/H21)</f>
        <v>5.5326630433023175E-2</v>
      </c>
      <c r="I86" s="725">
        <f>IF(I21=0,0,mat!L230/I21)</f>
        <v>5.3536887666985264E-2</v>
      </c>
      <c r="J86" s="725">
        <f>IF(J21=0,0,mat!M230/J21)</f>
        <v>5.3734477122553352E-2</v>
      </c>
      <c r="K86" s="725">
        <f>IF(K21=0,0,mat!N230/K21)</f>
        <v>5.3696706514080983E-2</v>
      </c>
      <c r="L86" s="725">
        <f>IF(L21=0,0,mat!O230/L21)</f>
        <v>5.3221500735653897E-2</v>
      </c>
      <c r="M86" s="726"/>
      <c r="N86" s="769"/>
    </row>
    <row r="87" spans="1:37" x14ac:dyDescent="0.2">
      <c r="B87" s="634"/>
      <c r="C87" s="689"/>
      <c r="D87" s="705"/>
      <c r="E87" s="688"/>
      <c r="F87" s="727"/>
      <c r="G87" s="1616"/>
      <c r="H87" s="727"/>
      <c r="I87" s="727"/>
      <c r="J87" s="727"/>
      <c r="K87" s="727"/>
      <c r="L87" s="727"/>
      <c r="M87" s="726"/>
      <c r="N87" s="769"/>
    </row>
    <row r="88" spans="1:37" x14ac:dyDescent="0.2">
      <c r="B88" s="634"/>
      <c r="C88" s="689"/>
      <c r="D88" s="705" t="s">
        <v>480</v>
      </c>
      <c r="E88" s="688"/>
      <c r="F88" s="692">
        <f>+F25/'geg ll'!G71</f>
        <v>0</v>
      </c>
      <c r="G88" s="729"/>
      <c r="H88" s="692">
        <f>+H25/'geg ll'!H71</f>
        <v>4.8529525462962964</v>
      </c>
      <c r="I88" s="692">
        <f>+I25/'geg ll'!I71</f>
        <v>5.3169003025037016</v>
      </c>
      <c r="J88" s="692">
        <f>+J25/'geg ll'!J71</f>
        <v>5.6852236596511556</v>
      </c>
      <c r="K88" s="692">
        <f>+K25/'geg ll'!K71</f>
        <v>6.0853639698783564</v>
      </c>
      <c r="L88" s="692">
        <f>+L25/'geg ll'!L71</f>
        <v>6.5162309326124737</v>
      </c>
      <c r="M88" s="704"/>
      <c r="N88" s="769"/>
    </row>
    <row r="89" spans="1:37" x14ac:dyDescent="0.2">
      <c r="B89" s="634"/>
      <c r="C89" s="744"/>
      <c r="D89" s="745"/>
      <c r="E89" s="746"/>
      <c r="F89" s="747"/>
      <c r="G89" s="1617"/>
      <c r="H89" s="747"/>
      <c r="I89" s="747"/>
      <c r="J89" s="747"/>
      <c r="K89" s="747"/>
      <c r="L89" s="747"/>
      <c r="M89" s="741"/>
      <c r="N89" s="769"/>
    </row>
    <row r="90" spans="1:37" s="628" customFormat="1" x14ac:dyDescent="0.2">
      <c r="A90" s="685"/>
      <c r="B90" s="764"/>
      <c r="C90" s="763"/>
      <c r="D90" s="765"/>
      <c r="E90" s="763"/>
      <c r="F90" s="766"/>
      <c r="G90" s="766"/>
      <c r="H90" s="766"/>
      <c r="I90" s="766"/>
      <c r="J90" s="766"/>
      <c r="K90" s="766"/>
      <c r="L90" s="766"/>
      <c r="M90" s="763"/>
      <c r="N90" s="767"/>
      <c r="O90" s="685"/>
      <c r="P90" s="685"/>
      <c r="Q90" s="685"/>
      <c r="R90" s="685"/>
      <c r="S90" s="685"/>
      <c r="T90" s="685"/>
      <c r="U90" s="685"/>
      <c r="V90" s="685"/>
      <c r="W90" s="685"/>
      <c r="X90" s="685"/>
      <c r="Y90" s="685"/>
      <c r="Z90" s="685"/>
      <c r="AA90" s="685"/>
      <c r="AB90" s="685"/>
      <c r="AC90" s="685"/>
      <c r="AD90" s="685"/>
      <c r="AE90" s="685"/>
      <c r="AF90" s="685"/>
      <c r="AG90" s="685"/>
      <c r="AH90" s="685"/>
      <c r="AI90" s="685"/>
      <c r="AJ90" s="685"/>
      <c r="AK90" s="685"/>
    </row>
    <row r="91" spans="1:37" s="628" customFormat="1" x14ac:dyDescent="0.2">
      <c r="A91" s="685"/>
      <c r="B91" s="764"/>
      <c r="C91" s="763"/>
      <c r="D91" s="765"/>
      <c r="E91" s="763"/>
      <c r="F91" s="768">
        <f t="shared" ref="F91:K91" si="12">F7</f>
        <v>2018</v>
      </c>
      <c r="G91" s="768"/>
      <c r="H91" s="768">
        <f t="shared" si="12"/>
        <v>2020</v>
      </c>
      <c r="I91" s="768">
        <f t="shared" si="12"/>
        <v>2021</v>
      </c>
      <c r="J91" s="768">
        <f t="shared" si="12"/>
        <v>2022</v>
      </c>
      <c r="K91" s="768">
        <f t="shared" si="12"/>
        <v>2023</v>
      </c>
      <c r="L91" s="768">
        <f>L7</f>
        <v>2024</v>
      </c>
      <c r="M91" s="763"/>
      <c r="N91" s="767"/>
      <c r="O91" s="685"/>
      <c r="P91" s="685"/>
      <c r="Q91" s="685"/>
      <c r="R91" s="685"/>
      <c r="S91" s="685"/>
      <c r="T91" s="685"/>
      <c r="U91" s="685"/>
      <c r="V91" s="685"/>
      <c r="W91" s="685"/>
      <c r="X91" s="685"/>
      <c r="Y91" s="685"/>
      <c r="Z91" s="685"/>
      <c r="AA91" s="685"/>
      <c r="AB91" s="685"/>
      <c r="AC91" s="685"/>
      <c r="AD91" s="685"/>
      <c r="AE91" s="685"/>
      <c r="AF91" s="685"/>
      <c r="AG91" s="685"/>
      <c r="AH91" s="685"/>
      <c r="AI91" s="685"/>
      <c r="AJ91" s="685"/>
      <c r="AK91" s="685"/>
    </row>
    <row r="92" spans="1:37" s="628" customFormat="1" x14ac:dyDescent="0.2">
      <c r="A92" s="685"/>
      <c r="B92" s="764"/>
      <c r="C92" s="763"/>
      <c r="D92" s="765"/>
      <c r="E92" s="763"/>
      <c r="F92" s="766"/>
      <c r="G92" s="766"/>
      <c r="H92" s="766"/>
      <c r="I92" s="766"/>
      <c r="J92" s="766"/>
      <c r="K92" s="766"/>
      <c r="L92" s="766"/>
      <c r="M92" s="763"/>
      <c r="N92" s="767"/>
      <c r="O92" s="685"/>
      <c r="P92" s="685"/>
      <c r="Q92" s="685"/>
      <c r="R92" s="685"/>
      <c r="S92" s="685"/>
      <c r="T92" s="685"/>
      <c r="U92" s="685"/>
      <c r="V92" s="685"/>
      <c r="W92" s="685"/>
      <c r="X92" s="685"/>
      <c r="Y92" s="685"/>
      <c r="Z92" s="685"/>
      <c r="AA92" s="685"/>
      <c r="AB92" s="685"/>
      <c r="AC92" s="685"/>
      <c r="AD92" s="685"/>
      <c r="AE92" s="685"/>
      <c r="AF92" s="685"/>
      <c r="AG92" s="685"/>
      <c r="AH92" s="685"/>
      <c r="AI92" s="685"/>
      <c r="AJ92" s="685"/>
      <c r="AK92" s="685"/>
    </row>
    <row r="93" spans="1:37" s="628" customFormat="1" x14ac:dyDescent="0.2">
      <c r="A93" s="685"/>
      <c r="B93" s="648"/>
      <c r="C93" s="755"/>
      <c r="D93" s="756"/>
      <c r="E93" s="755"/>
      <c r="F93" s="757"/>
      <c r="G93" s="757"/>
      <c r="H93" s="757"/>
      <c r="I93" s="757"/>
      <c r="J93" s="757"/>
      <c r="K93" s="757"/>
      <c r="L93" s="757"/>
      <c r="M93" s="755"/>
      <c r="N93" s="781"/>
      <c r="O93" s="685"/>
      <c r="P93" s="685"/>
      <c r="Q93" s="685"/>
      <c r="R93" s="685"/>
      <c r="S93" s="685"/>
      <c r="T93" s="685"/>
      <c r="U93" s="685"/>
      <c r="V93" s="685"/>
      <c r="W93" s="685"/>
      <c r="X93" s="685"/>
      <c r="Y93" s="685"/>
      <c r="Z93" s="685"/>
      <c r="AA93" s="685"/>
      <c r="AB93" s="685"/>
      <c r="AC93" s="685"/>
      <c r="AD93" s="685"/>
      <c r="AE93" s="685"/>
      <c r="AF93" s="685"/>
      <c r="AG93" s="685"/>
      <c r="AH93" s="685"/>
      <c r="AI93" s="685"/>
      <c r="AJ93" s="685"/>
      <c r="AK93" s="685"/>
    </row>
    <row r="94" spans="1:37" x14ac:dyDescent="0.2">
      <c r="B94" s="646"/>
      <c r="C94" s="730"/>
      <c r="D94" s="731" t="s">
        <v>421</v>
      </c>
      <c r="E94" s="730"/>
      <c r="F94" s="732"/>
      <c r="G94" s="732"/>
      <c r="H94" s="732"/>
      <c r="I94" s="732"/>
      <c r="J94" s="732"/>
      <c r="K94" s="732"/>
      <c r="L94" s="732"/>
      <c r="M94" s="728"/>
      <c r="N94" s="769"/>
    </row>
    <row r="95" spans="1:37" x14ac:dyDescent="0.2">
      <c r="B95" s="634"/>
      <c r="C95" s="732"/>
      <c r="D95" s="733"/>
      <c r="E95" s="730"/>
      <c r="F95" s="729"/>
      <c r="G95" s="729"/>
      <c r="H95" s="729"/>
      <c r="I95" s="729"/>
      <c r="J95" s="729"/>
      <c r="K95" s="729"/>
      <c r="L95" s="729"/>
      <c r="M95" s="728"/>
      <c r="N95" s="769"/>
    </row>
    <row r="96" spans="1:37" x14ac:dyDescent="0.2">
      <c r="B96" s="634"/>
      <c r="C96" s="732"/>
      <c r="D96" s="734" t="s">
        <v>437</v>
      </c>
      <c r="E96" s="732"/>
      <c r="F96" s="725">
        <f>IF('geg ll'!$G22=0,0,+'geg ll'!G22/'geg ll'!$G22)</f>
        <v>1</v>
      </c>
      <c r="G96" s="1616"/>
      <c r="H96" s="725">
        <f>IF('geg ll'!$H22=0,0,+'geg ll'!H22/'geg ll'!$H22)</f>
        <v>1</v>
      </c>
      <c r="I96" s="725">
        <f>IF('geg ll'!$H22=0,0,+'geg ll'!I22/'geg ll'!$H22)</f>
        <v>1.0831353919239906</v>
      </c>
      <c r="J96" s="725">
        <f>IF('geg ll'!$H22=0,0,+'geg ll'!J22/'geg ll'!$H22)</f>
        <v>1.0831353919239906</v>
      </c>
      <c r="K96" s="725">
        <f>IF('geg ll'!$H22=0,0,+'geg ll'!K22/'geg ll'!$H22)</f>
        <v>1.0831353919239906</v>
      </c>
      <c r="L96" s="725">
        <f>IF('geg ll'!$H22=0,0,+'geg ll'!L22/'geg ll'!$H22)</f>
        <v>1.0831353919239906</v>
      </c>
      <c r="M96" s="728"/>
      <c r="N96" s="769"/>
    </row>
    <row r="97" spans="2:14" x14ac:dyDescent="0.2">
      <c r="B97" s="634"/>
      <c r="C97" s="732"/>
      <c r="D97" s="734" t="s">
        <v>438</v>
      </c>
      <c r="E97" s="732"/>
      <c r="F97" s="725">
        <f>IF('geg ll'!$G23=0,0,+'geg ll'!G23/'geg ll'!$G23)</f>
        <v>1</v>
      </c>
      <c r="G97" s="1616"/>
      <c r="H97" s="725">
        <f>IF('geg ll'!$H23=0,0,+'geg ll'!H23/'geg ll'!$H23)</f>
        <v>1</v>
      </c>
      <c r="I97" s="725">
        <f>IF('geg ll'!$H23=0,0,+'geg ll'!I23/'geg ll'!$H23)</f>
        <v>0.98017606343659702</v>
      </c>
      <c r="J97" s="725">
        <f>IF('geg ll'!$H23=0,0,+'geg ll'!J23/'geg ll'!$H23)</f>
        <v>0.98017606343659702</v>
      </c>
      <c r="K97" s="725">
        <f>IF('geg ll'!$H23=0,0,+'geg ll'!K23/'geg ll'!$H23)</f>
        <v>0.98017606343659702</v>
      </c>
      <c r="L97" s="725">
        <f>IF('geg ll'!$H23=0,0,+'geg ll'!L23/'geg ll'!$H23)</f>
        <v>0.98017606343659702</v>
      </c>
      <c r="M97" s="728"/>
      <c r="N97" s="769"/>
    </row>
    <row r="98" spans="2:14" x14ac:dyDescent="0.2">
      <c r="B98" s="634"/>
      <c r="C98" s="732"/>
      <c r="D98" s="734" t="s">
        <v>439</v>
      </c>
      <c r="E98" s="732"/>
      <c r="F98" s="725">
        <f>IF('geg ll'!$G24=0,0,+'geg ll'!G24/'geg ll'!$G24)</f>
        <v>1</v>
      </c>
      <c r="G98" s="1616"/>
      <c r="H98" s="725">
        <f>IF('geg ll'!$H24=0,0,+'geg ll'!H24/'geg ll'!$H24)</f>
        <v>1</v>
      </c>
      <c r="I98" s="725">
        <f>IF('geg ll'!$H24=0,0,+'geg ll'!I24/'geg ll'!$H24)</f>
        <v>0.98121330724070455</v>
      </c>
      <c r="J98" s="725">
        <f>IF('geg ll'!$H24=0,0,+'geg ll'!J24/'geg ll'!$H24)</f>
        <v>0.98121330724070455</v>
      </c>
      <c r="K98" s="725">
        <f>IF('geg ll'!$H24=0,0,+'geg ll'!K24/'geg ll'!$H24)</f>
        <v>0.98121330724070455</v>
      </c>
      <c r="L98" s="725">
        <f>IF('geg ll'!$H24=0,0,+'geg ll'!L24/'geg ll'!$H24)</f>
        <v>0.98121330724070455</v>
      </c>
      <c r="M98" s="728"/>
      <c r="N98" s="769"/>
    </row>
    <row r="99" spans="2:14" x14ac:dyDescent="0.2">
      <c r="B99" s="634"/>
      <c r="C99" s="732"/>
      <c r="D99" s="734" t="s">
        <v>442</v>
      </c>
      <c r="E99" s="732"/>
      <c r="F99" s="725">
        <f>IF(+'geg ll'!$G66=0,0,'geg ll'!G66/'geg ll'!$G66)</f>
        <v>1</v>
      </c>
      <c r="G99" s="1616"/>
      <c r="H99" s="725">
        <f>IF(+'geg ll'!$H66=0,0,'geg ll'!H66/'geg ll'!$H66)</f>
        <v>1</v>
      </c>
      <c r="I99" s="725">
        <f>IF(+'geg ll'!$H66=0,0,'geg ll'!I66/'geg ll'!$H66)</f>
        <v>0.96796338672768878</v>
      </c>
      <c r="J99" s="725">
        <f>IF(+'geg ll'!$H66=0,0,'geg ll'!J66/'geg ll'!$H66)</f>
        <v>0.96796338672768878</v>
      </c>
      <c r="K99" s="725">
        <f>IF(+'geg ll'!$H66=0,0,'geg ll'!K66/'geg ll'!$H66)</f>
        <v>0.96796338672768878</v>
      </c>
      <c r="L99" s="725">
        <f>IF(+'geg ll'!$H66=0,0,'geg ll'!L66/'geg ll'!$H66)</f>
        <v>0.96796338672768878</v>
      </c>
      <c r="M99" s="728"/>
      <c r="N99" s="769"/>
    </row>
    <row r="100" spans="2:14" x14ac:dyDescent="0.2">
      <c r="B100" s="634"/>
      <c r="C100" s="732"/>
      <c r="D100" s="734" t="s">
        <v>443</v>
      </c>
      <c r="E100" s="732"/>
      <c r="F100" s="725">
        <f>IF(+'geg ll'!$G67=0,0,'geg ll'!G67/'geg ll'!$G67)</f>
        <v>1</v>
      </c>
      <c r="G100" s="1616"/>
      <c r="H100" s="725">
        <f>IF(+'geg ll'!$H67=0,0,'geg ll'!H67/'geg ll'!$H67)</f>
        <v>1</v>
      </c>
      <c r="I100" s="725">
        <f>IF(+'geg ll'!$H67=0,0,'geg ll'!I67/'geg ll'!$H67)</f>
        <v>1.103448275862069</v>
      </c>
      <c r="J100" s="725">
        <f>IF(+'geg ll'!$H67=0,0,'geg ll'!J67/'geg ll'!$H67)</f>
        <v>1.103448275862069</v>
      </c>
      <c r="K100" s="725">
        <f>IF(+'geg ll'!$H67=0,0,'geg ll'!K67/'geg ll'!$H67)</f>
        <v>1.103448275862069</v>
      </c>
      <c r="L100" s="725">
        <f>IF(+'geg ll'!$H67=0,0,'geg ll'!L67/'geg ll'!$H67)</f>
        <v>1.103448275862069</v>
      </c>
      <c r="M100" s="728"/>
      <c r="N100" s="769"/>
    </row>
    <row r="101" spans="2:14" x14ac:dyDescent="0.2">
      <c r="B101" s="634"/>
      <c r="C101" s="732"/>
      <c r="D101" s="734" t="s">
        <v>444</v>
      </c>
      <c r="E101" s="732"/>
      <c r="F101" s="725">
        <f>IF(+'geg ll'!$G68=0,0,'geg ll'!G68/'geg ll'!$G68)</f>
        <v>1</v>
      </c>
      <c r="G101" s="1616"/>
      <c r="H101" s="725">
        <f>IF(+'geg ll'!$H68=0,0,'geg ll'!H68/'geg ll'!$H68)</f>
        <v>1</v>
      </c>
      <c r="I101" s="725">
        <f>IF(+'geg ll'!$H68=0,0,'geg ll'!I68/'geg ll'!$H68)</f>
        <v>0.90909090909090906</v>
      </c>
      <c r="J101" s="725">
        <f>IF(+'geg ll'!$H68=0,0,'geg ll'!J68/'geg ll'!$H68)</f>
        <v>0.90909090909090906</v>
      </c>
      <c r="K101" s="725">
        <f>IF(+'geg ll'!$H68=0,0,'geg ll'!K68/'geg ll'!$H68)</f>
        <v>0.90909090909090906</v>
      </c>
      <c r="L101" s="725">
        <f>IF(+'geg ll'!$H68=0,0,'geg ll'!L68/'geg ll'!$H68)</f>
        <v>0.90909090909090906</v>
      </c>
      <c r="M101" s="728"/>
      <c r="N101" s="769"/>
    </row>
    <row r="102" spans="2:14" x14ac:dyDescent="0.2">
      <c r="B102" s="634"/>
      <c r="C102" s="732"/>
      <c r="D102" s="734" t="s">
        <v>441</v>
      </c>
      <c r="E102" s="732"/>
      <c r="F102" s="725">
        <f>IF(+'geg ll'!$G69=0,0,'geg ll'!G69/'geg ll'!$G69)</f>
        <v>1</v>
      </c>
      <c r="G102" s="1616"/>
      <c r="H102" s="725">
        <f>IF(+'geg ll'!$H69=0,0,'geg ll'!H69/'geg ll'!$H69)</f>
        <v>1</v>
      </c>
      <c r="I102" s="725">
        <f>IF(+'geg ll'!$H69=0,0,'geg ll'!I69/'geg ll'!$H69)</f>
        <v>0.97058823529411764</v>
      </c>
      <c r="J102" s="725">
        <f>IF(+'geg ll'!$H69=0,0,'geg ll'!J69/'geg ll'!$H69)</f>
        <v>0.97058823529411764</v>
      </c>
      <c r="K102" s="725">
        <f>IF(+'geg ll'!$H69=0,0,'geg ll'!K69/'geg ll'!$H69)</f>
        <v>0.97058823529411764</v>
      </c>
      <c r="L102" s="725">
        <f>IF(+'geg ll'!$H69=0,0,'geg ll'!L69/'geg ll'!$H69)</f>
        <v>0.97058823529411764</v>
      </c>
      <c r="M102" s="728"/>
      <c r="N102" s="769"/>
    </row>
    <row r="103" spans="2:14" x14ac:dyDescent="0.2">
      <c r="B103" s="634"/>
      <c r="C103" s="732"/>
      <c r="D103" s="734" t="s">
        <v>440</v>
      </c>
      <c r="E103" s="732"/>
      <c r="F103" s="725">
        <f>IF(+'geg ll'!$G71=0,0,'geg ll'!G71/'geg ll'!$G71)</f>
        <v>1</v>
      </c>
      <c r="G103" s="1616"/>
      <c r="H103" s="725">
        <f>IF(+'geg ll'!$H71=0,0,'geg ll'!H71/'geg ll'!$H71)</f>
        <v>1</v>
      </c>
      <c r="I103" s="725">
        <f>IF(+'geg ll'!$H71=0,0,'geg ll'!I71/'geg ll'!$H71)</f>
        <v>0.98087121212121209</v>
      </c>
      <c r="J103" s="725">
        <f>IF(+'geg ll'!$H71=0,0,'geg ll'!J71/'geg ll'!$H71)</f>
        <v>0.98087121212121209</v>
      </c>
      <c r="K103" s="725">
        <f>IF(+'geg ll'!$H71=0,0,'geg ll'!K71/'geg ll'!$H71)</f>
        <v>0.98087121212121209</v>
      </c>
      <c r="L103" s="725">
        <f>IF(+'geg ll'!$H71=0,0,'geg ll'!L71/'geg ll'!$H71)</f>
        <v>0.98087121212121209</v>
      </c>
      <c r="M103" s="728"/>
      <c r="N103" s="769"/>
    </row>
    <row r="104" spans="2:14" x14ac:dyDescent="0.2">
      <c r="B104" s="634"/>
      <c r="C104" s="732"/>
      <c r="D104" s="734" t="s">
        <v>481</v>
      </c>
      <c r="E104" s="732"/>
      <c r="F104" s="725">
        <f t="shared" ref="F104" si="13">IF($F121=0,0,+F121/$F121)</f>
        <v>1</v>
      </c>
      <c r="G104" s="1616"/>
      <c r="H104" s="725">
        <f>IF($H121=0,0,+H121/$H121)</f>
        <v>1</v>
      </c>
      <c r="I104" s="725">
        <f t="shared" ref="I104:L104" si="14">IF($H121=0,0,+I121/$H121)</f>
        <v>1</v>
      </c>
      <c r="J104" s="725">
        <f t="shared" si="14"/>
        <v>1</v>
      </c>
      <c r="K104" s="725">
        <f t="shared" si="14"/>
        <v>1</v>
      </c>
      <c r="L104" s="725">
        <f t="shared" si="14"/>
        <v>1</v>
      </c>
      <c r="M104" s="728"/>
      <c r="N104" s="769"/>
    </row>
    <row r="105" spans="2:14" x14ac:dyDescent="0.2">
      <c r="B105" s="634"/>
      <c r="C105" s="732"/>
      <c r="D105" s="734" t="s">
        <v>422</v>
      </c>
      <c r="E105" s="732"/>
      <c r="F105" s="725">
        <f>IF($F26=0,0,F26/$F26)</f>
        <v>0</v>
      </c>
      <c r="G105" s="1616"/>
      <c r="H105" s="725">
        <f>IF($H26=0,0,H26/$H26)</f>
        <v>1</v>
      </c>
      <c r="I105" s="725">
        <f t="shared" ref="I105:L105" si="15">IF($H26=0,0,I26/$H26)</f>
        <v>1.0746436101924397</v>
      </c>
      <c r="J105" s="725">
        <f t="shared" si="15"/>
        <v>1.1490885536224964</v>
      </c>
      <c r="K105" s="725">
        <f t="shared" si="15"/>
        <v>1.2299642900668288</v>
      </c>
      <c r="L105" s="725">
        <f t="shared" si="15"/>
        <v>1.3170504496713651</v>
      </c>
      <c r="M105" s="728"/>
      <c r="N105" s="769"/>
    </row>
    <row r="106" spans="2:14" x14ac:dyDescent="0.2">
      <c r="B106" s="634"/>
      <c r="C106" s="732"/>
      <c r="D106" s="734" t="s">
        <v>423</v>
      </c>
      <c r="E106" s="732"/>
      <c r="F106" s="725">
        <f>IF($F15=0,0,F15/$F15)</f>
        <v>0</v>
      </c>
      <c r="G106" s="1616"/>
      <c r="H106" s="725">
        <f>IF($H15=0,0,H15/$H15)</f>
        <v>1</v>
      </c>
      <c r="I106" s="725">
        <f t="shared" ref="I106:L106" si="16">IF($H15=0,0,I15/$H15)</f>
        <v>0.97844840689913504</v>
      </c>
      <c r="J106" s="725">
        <f t="shared" si="16"/>
        <v>1.0019808644222108</v>
      </c>
      <c r="K106" s="725">
        <f t="shared" si="16"/>
        <v>1.0019808644222108</v>
      </c>
      <c r="L106" s="725">
        <f t="shared" si="16"/>
        <v>1.0019808644222108</v>
      </c>
      <c r="M106" s="728"/>
      <c r="N106" s="769"/>
    </row>
    <row r="107" spans="2:14" x14ac:dyDescent="0.2">
      <c r="B107" s="634"/>
      <c r="C107" s="732"/>
      <c r="D107" s="734" t="s">
        <v>424</v>
      </c>
      <c r="E107" s="732"/>
      <c r="F107" s="725">
        <f>IF(begr!$F14=0,0,begr!F14/begr!$F14)</f>
        <v>0</v>
      </c>
      <c r="G107" s="1616"/>
      <c r="H107" s="725">
        <f>IF(begr!$H14=0,0,begr!H14/begr!$H14)</f>
        <v>1</v>
      </c>
      <c r="I107" s="725">
        <f>IF(begr!$H14=0,0,begr!I14/begr!$H14)</f>
        <v>0.97844840689913504</v>
      </c>
      <c r="J107" s="725">
        <f>IF(begr!$H14=0,0,begr!J14/begr!$H14)</f>
        <v>1.0019808644222108</v>
      </c>
      <c r="K107" s="725">
        <f>IF(begr!$H14=0,0,begr!K14/begr!$H14)</f>
        <v>1.0019808644222108</v>
      </c>
      <c r="L107" s="725">
        <f>IF(begr!$H14=0,0,begr!L14/begr!$H14)</f>
        <v>1.0019808644222108</v>
      </c>
      <c r="M107" s="728"/>
      <c r="N107" s="769"/>
    </row>
    <row r="108" spans="2:14" x14ac:dyDescent="0.2">
      <c r="B108" s="634"/>
      <c r="C108" s="732"/>
      <c r="D108" s="734" t="s">
        <v>425</v>
      </c>
      <c r="E108" s="732"/>
      <c r="F108" s="725">
        <f>IF(begr!$F17=0,0,begr!F17/begr!$F17)</f>
        <v>0</v>
      </c>
      <c r="G108" s="1616"/>
      <c r="H108" s="725">
        <f>IF(begr!$H17=0,0,begr!H17/begr!$H17)</f>
        <v>0</v>
      </c>
      <c r="I108" s="725">
        <f>IF(begr!$H17=0,0,begr!I17/begr!$H17)</f>
        <v>0</v>
      </c>
      <c r="J108" s="725">
        <f>IF(begr!$H17=0,0,begr!J17/begr!$H17)</f>
        <v>0</v>
      </c>
      <c r="K108" s="725">
        <f>IF(begr!$H17=0,0,begr!K17/begr!$H17)</f>
        <v>0</v>
      </c>
      <c r="L108" s="725">
        <f>IF(begr!$H17=0,0,begr!L17/begr!$H17)</f>
        <v>0</v>
      </c>
      <c r="M108" s="728"/>
      <c r="N108" s="769"/>
    </row>
    <row r="109" spans="2:14" x14ac:dyDescent="0.2">
      <c r="B109" s="634"/>
      <c r="C109" s="732"/>
      <c r="D109" s="734" t="s">
        <v>426</v>
      </c>
      <c r="E109" s="732"/>
      <c r="F109" s="725">
        <f>IF(begr!$F21=0,0,begr!F21/begr!$F21)</f>
        <v>0</v>
      </c>
      <c r="G109" s="1616"/>
      <c r="H109" s="725">
        <f>IF(begr!$H21=0,0,begr!H21/begr!$H21)</f>
        <v>0</v>
      </c>
      <c r="I109" s="725">
        <f>IF(begr!$H21=0,0,begr!I21/begr!$H21)</f>
        <v>0</v>
      </c>
      <c r="J109" s="725">
        <f>IF(begr!$H21=0,0,begr!J21/begr!$H21)</f>
        <v>0</v>
      </c>
      <c r="K109" s="725">
        <f>IF(begr!$H21=0,0,begr!K21/begr!$H21)</f>
        <v>0</v>
      </c>
      <c r="L109" s="725">
        <f>IF(begr!$H21=0,0,begr!L21/begr!$H21)</f>
        <v>0</v>
      </c>
      <c r="M109" s="728"/>
      <c r="N109" s="769"/>
    </row>
    <row r="110" spans="2:14" x14ac:dyDescent="0.2">
      <c r="B110" s="634"/>
      <c r="C110" s="732"/>
      <c r="D110" s="734" t="s">
        <v>427</v>
      </c>
      <c r="E110" s="732"/>
      <c r="F110" s="725">
        <f>IF(begr!$F22=0,0,begr!F22/begr!$F22)</f>
        <v>0</v>
      </c>
      <c r="G110" s="1616"/>
      <c r="H110" s="725">
        <f>IF(begr!$H22=0,0,begr!H22/begr!$H22)</f>
        <v>0</v>
      </c>
      <c r="I110" s="725">
        <f>IF(begr!$H22=0,0,begr!I22/begr!$H22)</f>
        <v>0</v>
      </c>
      <c r="J110" s="725">
        <f>IF(begr!$H22=0,0,begr!J22/begr!$H22)</f>
        <v>0</v>
      </c>
      <c r="K110" s="725">
        <f>IF(begr!$H22=0,0,begr!K22/begr!$H22)</f>
        <v>0</v>
      </c>
      <c r="L110" s="725">
        <f>IF(begr!$H22=0,0,begr!L22/begr!$H22)</f>
        <v>0</v>
      </c>
      <c r="M110" s="728"/>
      <c r="N110" s="769"/>
    </row>
    <row r="111" spans="2:14" x14ac:dyDescent="0.2">
      <c r="B111" s="634"/>
      <c r="C111" s="732"/>
      <c r="D111" s="734" t="s">
        <v>428</v>
      </c>
      <c r="E111" s="732"/>
      <c r="F111" s="725">
        <f>IF($F21=0,0,+F21/$F21)</f>
        <v>0</v>
      </c>
      <c r="G111" s="1616"/>
      <c r="H111" s="725">
        <f>IF($H21=0,0,+H21/$H21)</f>
        <v>1</v>
      </c>
      <c r="I111" s="725">
        <f t="shared" ref="I111:L111" si="17">IF($H21=0,0,+I21/$H21)</f>
        <v>1.0331067154342233</v>
      </c>
      <c r="J111" s="725">
        <f t="shared" si="17"/>
        <v>1.0310815681312193</v>
      </c>
      <c r="K111" s="725">
        <f t="shared" si="17"/>
        <v>1.0318068375330354</v>
      </c>
      <c r="L111" s="725">
        <f t="shared" si="17"/>
        <v>1.0321138175151694</v>
      </c>
      <c r="M111" s="728"/>
      <c r="N111" s="769"/>
    </row>
    <row r="112" spans="2:14" x14ac:dyDescent="0.2">
      <c r="B112" s="634"/>
      <c r="C112" s="732"/>
      <c r="D112" s="734" t="s">
        <v>429</v>
      </c>
      <c r="E112" s="732"/>
      <c r="F112" s="725">
        <f>IF(pers!$H194=0,0,pers!H194/pers!$H194)</f>
        <v>1</v>
      </c>
      <c r="G112" s="1616"/>
      <c r="H112" s="725">
        <f>IF(pers!$I194=0,0,pers!I194/pers!$I194)</f>
        <v>1</v>
      </c>
      <c r="I112" s="725">
        <f>IF(pers!$I194=0,0,pers!J194/pers!$I194)</f>
        <v>1.0331959197816627</v>
      </c>
      <c r="J112" s="725">
        <f>IF(pers!$I194=0,0,pers!K194/pers!$I194)</f>
        <v>1.0309087139318827</v>
      </c>
      <c r="K112" s="725">
        <f>IF(pers!$I194=0,0,pers!L194/pers!$I194)</f>
        <v>1.0316447028725524</v>
      </c>
      <c r="L112" s="725">
        <f>IF(pers!$I194=0,0,pers!M194/pers!$I194)</f>
        <v>1.0324372081797335</v>
      </c>
      <c r="M112" s="728"/>
      <c r="N112" s="769"/>
    </row>
    <row r="113" spans="2:14" x14ac:dyDescent="0.2">
      <c r="B113" s="634"/>
      <c r="C113" s="732"/>
      <c r="D113" s="734" t="s">
        <v>430</v>
      </c>
      <c r="E113" s="732"/>
      <c r="F113" s="725">
        <f>IF(begr!$F32=0,0,begr!F32/begr!$F32)</f>
        <v>0</v>
      </c>
      <c r="G113" s="1616"/>
      <c r="H113" s="725">
        <f>IF(begr!$H32=0,0,begr!H32/begr!$H32)</f>
        <v>1</v>
      </c>
      <c r="I113" s="725">
        <f>IF(begr!$H32=0,0,begr!I32/begr!$H32)</f>
        <v>1</v>
      </c>
      <c r="J113" s="725">
        <f>IF(begr!$H32=0,0,begr!J32/begr!$H32)</f>
        <v>1</v>
      </c>
      <c r="K113" s="725">
        <f>IF(begr!$H32=0,0,begr!K32/begr!$H32)</f>
        <v>1</v>
      </c>
      <c r="L113" s="725">
        <f>IF(begr!$H32=0,0,begr!L32/begr!$H32)</f>
        <v>1</v>
      </c>
      <c r="M113" s="728"/>
      <c r="N113" s="769"/>
    </row>
    <row r="114" spans="2:14" x14ac:dyDescent="0.2">
      <c r="B114" s="634"/>
      <c r="C114" s="732"/>
      <c r="D114" s="734" t="s">
        <v>431</v>
      </c>
      <c r="E114" s="732"/>
      <c r="F114" s="725">
        <f t="shared" ref="F114" si="18">IF($F33=0,0,F33/$F33)</f>
        <v>0</v>
      </c>
      <c r="G114" s="1616"/>
      <c r="H114" s="725">
        <f>IF($H33=0,0,H33/$H33)</f>
        <v>0</v>
      </c>
      <c r="I114" s="725">
        <f t="shared" ref="I114:L114" si="19">IF($H33=0,0,I33/$H33)</f>
        <v>0</v>
      </c>
      <c r="J114" s="725">
        <f t="shared" si="19"/>
        <v>0</v>
      </c>
      <c r="K114" s="725">
        <f t="shared" si="19"/>
        <v>0</v>
      </c>
      <c r="L114" s="725">
        <f t="shared" si="19"/>
        <v>0</v>
      </c>
      <c r="M114" s="728"/>
      <c r="N114" s="769"/>
    </row>
    <row r="115" spans="2:14" x14ac:dyDescent="0.2">
      <c r="B115" s="634"/>
      <c r="C115" s="732"/>
      <c r="D115" s="735" t="s">
        <v>432</v>
      </c>
      <c r="E115" s="732"/>
      <c r="F115" s="725">
        <f>IF(begr!$F34=0,0,begr!F34/begr!$F34)</f>
        <v>0</v>
      </c>
      <c r="G115" s="1616"/>
      <c r="H115" s="725">
        <f>IF(begr!$H34=0,0,begr!H34/begr!$H34)</f>
        <v>0</v>
      </c>
      <c r="I115" s="725">
        <f>IF(begr!$H34=0,0,begr!I34/begr!$H34)</f>
        <v>0</v>
      </c>
      <c r="J115" s="725">
        <f>IF(begr!$H34=0,0,begr!J34/begr!$H34)</f>
        <v>0</v>
      </c>
      <c r="K115" s="725">
        <f>IF(begr!$H34=0,0,begr!K34/begr!$H34)</f>
        <v>0</v>
      </c>
      <c r="L115" s="725">
        <f>IF(begr!$H34=0,0,begr!L34/begr!$H34)</f>
        <v>0</v>
      </c>
      <c r="M115" s="728"/>
      <c r="N115" s="769"/>
    </row>
    <row r="116" spans="2:14" x14ac:dyDescent="0.2">
      <c r="B116" s="634"/>
      <c r="C116" s="748"/>
      <c r="D116" s="749"/>
      <c r="E116" s="748"/>
      <c r="F116" s="750"/>
      <c r="G116" s="750"/>
      <c r="H116" s="750"/>
      <c r="I116" s="750"/>
      <c r="J116" s="750"/>
      <c r="K116" s="750"/>
      <c r="L116" s="750"/>
      <c r="M116" s="751"/>
      <c r="N116" s="769"/>
    </row>
    <row r="117" spans="2:14" x14ac:dyDescent="0.2">
      <c r="B117" s="761"/>
      <c r="C117" s="776"/>
      <c r="D117" s="777"/>
      <c r="E117" s="776"/>
      <c r="F117" s="778"/>
      <c r="G117" s="778"/>
      <c r="H117" s="778"/>
      <c r="I117" s="778"/>
      <c r="J117" s="778"/>
      <c r="K117" s="778"/>
      <c r="L117" s="778"/>
      <c r="M117" s="779"/>
      <c r="N117" s="762"/>
    </row>
    <row r="118" spans="2:14" x14ac:dyDescent="0.2">
      <c r="B118" s="634"/>
      <c r="C118" s="758"/>
      <c r="D118" s="759"/>
      <c r="E118" s="758"/>
      <c r="F118" s="760"/>
      <c r="G118" s="760"/>
      <c r="H118" s="760"/>
      <c r="I118" s="760"/>
      <c r="J118" s="760"/>
      <c r="K118" s="760"/>
      <c r="L118" s="760"/>
      <c r="M118" s="755"/>
      <c r="N118" s="769"/>
    </row>
    <row r="119" spans="2:14" x14ac:dyDescent="0.2">
      <c r="B119" s="634"/>
      <c r="C119" s="732"/>
      <c r="D119" s="737" t="s">
        <v>433</v>
      </c>
      <c r="E119" s="732"/>
      <c r="F119" s="738" t="str">
        <f>+tab!D2</f>
        <v>2017/18</v>
      </c>
      <c r="G119" s="738"/>
      <c r="H119" s="738" t="str">
        <f>+tab!G2</f>
        <v>2020/21</v>
      </c>
      <c r="I119" s="738" t="str">
        <f>+tab!H2</f>
        <v>2021/22</v>
      </c>
      <c r="J119" s="738" t="str">
        <f>+tab!I2</f>
        <v>2022/23</v>
      </c>
      <c r="K119" s="738" t="str">
        <f>+tab!J2</f>
        <v>2023/24</v>
      </c>
      <c r="L119" s="738" t="str">
        <f>+tab!K2</f>
        <v>2024/25</v>
      </c>
      <c r="M119" s="732"/>
      <c r="N119" s="769"/>
    </row>
    <row r="120" spans="2:14" x14ac:dyDescent="0.2">
      <c r="B120" s="634"/>
      <c r="C120" s="732"/>
      <c r="D120" s="737"/>
      <c r="E120" s="732"/>
      <c r="F120" s="732"/>
      <c r="G120" s="732"/>
      <c r="H120" s="732"/>
      <c r="I120" s="732"/>
      <c r="J120" s="732"/>
      <c r="K120" s="732"/>
      <c r="L120" s="732"/>
      <c r="M120" s="732"/>
      <c r="N120" s="769"/>
    </row>
    <row r="121" spans="2:14" x14ac:dyDescent="0.2">
      <c r="B121" s="634"/>
      <c r="C121" s="732"/>
      <c r="D121" s="739" t="s">
        <v>500</v>
      </c>
      <c r="E121" s="732"/>
      <c r="F121" s="725">
        <f>' sal SWV'!K35</f>
        <v>1</v>
      </c>
      <c r="G121" s="1616"/>
      <c r="H121" s="725">
        <f>+' sal SWV'!K99</f>
        <v>1</v>
      </c>
      <c r="I121" s="725">
        <f>+' sal SWV'!K131</f>
        <v>1</v>
      </c>
      <c r="J121" s="725">
        <f>+' sal SWV'!K163</f>
        <v>1</v>
      </c>
      <c r="K121" s="725">
        <f>+' sal SWV'!K195</f>
        <v>1</v>
      </c>
      <c r="L121" s="725">
        <f>+' sal SWV'!K227</f>
        <v>1</v>
      </c>
      <c r="M121" s="740"/>
      <c r="N121" s="769"/>
    </row>
    <row r="122" spans="2:14" x14ac:dyDescent="0.2">
      <c r="B122" s="634"/>
      <c r="C122" s="732"/>
      <c r="D122" s="734"/>
      <c r="E122" s="732"/>
      <c r="F122" s="736"/>
      <c r="G122" s="736"/>
      <c r="H122" s="736"/>
      <c r="I122" s="736"/>
      <c r="J122" s="736"/>
      <c r="K122" s="736"/>
      <c r="L122" s="736"/>
      <c r="M122" s="728"/>
      <c r="N122" s="769"/>
    </row>
    <row r="123" spans="2:14" x14ac:dyDescent="0.2">
      <c r="B123" s="634"/>
      <c r="C123" s="635"/>
      <c r="D123" s="636"/>
      <c r="E123" s="635"/>
      <c r="F123" s="649"/>
      <c r="G123" s="649"/>
      <c r="H123" s="649"/>
      <c r="I123" s="649"/>
      <c r="J123" s="649"/>
      <c r="K123" s="649"/>
      <c r="L123" s="649"/>
      <c r="M123" s="638"/>
      <c r="N123" s="769"/>
    </row>
    <row r="124" spans="2:14" x14ac:dyDescent="0.2">
      <c r="B124" s="650"/>
      <c r="C124" s="782"/>
      <c r="D124" s="783"/>
      <c r="E124" s="782"/>
      <c r="F124" s="784"/>
      <c r="G124" s="784"/>
      <c r="H124" s="784"/>
      <c r="I124" s="784"/>
      <c r="J124" s="784"/>
      <c r="K124" s="1475"/>
      <c r="L124" s="1475"/>
      <c r="M124" s="785"/>
      <c r="N124" s="786"/>
    </row>
    <row r="125" spans="2:14" s="682" customFormat="1" x14ac:dyDescent="0.2">
      <c r="D125" s="683"/>
      <c r="F125" s="684"/>
      <c r="G125" s="684"/>
      <c r="H125" s="684"/>
      <c r="I125" s="684"/>
      <c r="J125" s="684"/>
      <c r="K125" s="684"/>
      <c r="L125" s="684"/>
      <c r="M125" s="685"/>
    </row>
    <row r="126" spans="2:14" s="682" customFormat="1" x14ac:dyDescent="0.2">
      <c r="D126" s="683"/>
      <c r="F126" s="684"/>
      <c r="G126" s="684"/>
      <c r="H126" s="684"/>
      <c r="I126" s="684"/>
      <c r="J126" s="684"/>
      <c r="K126" s="684"/>
      <c r="L126" s="684"/>
      <c r="M126" s="685"/>
    </row>
    <row r="127" spans="2:14" s="682" customFormat="1" x14ac:dyDescent="0.2">
      <c r="D127" s="683"/>
      <c r="M127" s="685"/>
    </row>
    <row r="128" spans="2:14" s="682" customFormat="1" x14ac:dyDescent="0.2">
      <c r="D128" s="683"/>
      <c r="M128" s="685"/>
    </row>
    <row r="129" spans="4:13" s="682" customFormat="1" x14ac:dyDescent="0.2">
      <c r="D129" s="683"/>
      <c r="M129" s="685"/>
    </row>
    <row r="130" spans="4:13" s="682" customFormat="1" x14ac:dyDescent="0.2"/>
    <row r="131" spans="4:13" s="682" customFormat="1" x14ac:dyDescent="0.2"/>
    <row r="132" spans="4:13" s="682" customFormat="1" x14ac:dyDescent="0.2"/>
    <row r="133" spans="4:13" s="682" customFormat="1" x14ac:dyDescent="0.2"/>
    <row r="134" spans="4:13" s="682" customFormat="1" x14ac:dyDescent="0.2"/>
    <row r="135" spans="4:13" s="682" customFormat="1" x14ac:dyDescent="0.2">
      <c r="D135" s="683"/>
      <c r="M135" s="685"/>
    </row>
    <row r="136" spans="4:13" s="682" customFormat="1" x14ac:dyDescent="0.2">
      <c r="D136" s="683"/>
      <c r="M136" s="685"/>
    </row>
    <row r="137" spans="4:13" s="682" customFormat="1" x14ac:dyDescent="0.2">
      <c r="D137" s="683"/>
      <c r="M137" s="685"/>
    </row>
    <row r="138" spans="4:13" s="682" customFormat="1" x14ac:dyDescent="0.2">
      <c r="D138" s="683"/>
      <c r="M138" s="685"/>
    </row>
    <row r="139" spans="4:13" s="682" customFormat="1" x14ac:dyDescent="0.2">
      <c r="D139" s="683"/>
      <c r="M139" s="685"/>
    </row>
    <row r="140" spans="4:13" s="682" customFormat="1" x14ac:dyDescent="0.2">
      <c r="D140" s="683"/>
      <c r="F140" s="684"/>
      <c r="G140" s="684"/>
      <c r="H140" s="684"/>
      <c r="I140" s="684"/>
      <c r="J140" s="684"/>
      <c r="K140" s="684"/>
      <c r="L140" s="684"/>
      <c r="M140" s="685"/>
    </row>
    <row r="141" spans="4:13" s="682" customFormat="1" x14ac:dyDescent="0.2">
      <c r="D141" s="683"/>
      <c r="F141" s="684"/>
      <c r="G141" s="684"/>
      <c r="H141" s="684"/>
      <c r="I141" s="684"/>
      <c r="J141" s="684"/>
      <c r="K141" s="684"/>
      <c r="L141" s="684"/>
      <c r="M141" s="685"/>
    </row>
    <row r="142" spans="4:13" s="682" customFormat="1" x14ac:dyDescent="0.2">
      <c r="D142" s="683"/>
      <c r="F142" s="684"/>
      <c r="G142" s="684"/>
      <c r="H142" s="684"/>
      <c r="I142" s="684"/>
      <c r="J142" s="684"/>
      <c r="K142" s="684"/>
      <c r="L142" s="684"/>
      <c r="M142" s="685"/>
    </row>
    <row r="143" spans="4:13" s="682" customFormat="1" x14ac:dyDescent="0.2">
      <c r="D143" s="683"/>
      <c r="F143" s="684"/>
      <c r="G143" s="684"/>
      <c r="H143" s="684"/>
      <c r="I143" s="684"/>
      <c r="J143" s="684"/>
      <c r="K143" s="684"/>
      <c r="L143" s="684"/>
      <c r="M143" s="685"/>
    </row>
    <row r="144" spans="4:13" s="682" customFormat="1" x14ac:dyDescent="0.2">
      <c r="D144" s="683"/>
      <c r="F144" s="684"/>
      <c r="G144" s="684"/>
      <c r="H144" s="684"/>
      <c r="I144" s="684"/>
      <c r="J144" s="684"/>
      <c r="K144" s="684"/>
      <c r="L144" s="684"/>
      <c r="M144" s="685"/>
    </row>
    <row r="145" spans="4:13" s="682" customFormat="1" x14ac:dyDescent="0.2">
      <c r="D145" s="683"/>
      <c r="F145" s="684"/>
      <c r="G145" s="684"/>
      <c r="H145" s="684"/>
      <c r="I145" s="684"/>
      <c r="J145" s="684"/>
      <c r="K145" s="684"/>
      <c r="L145" s="684"/>
      <c r="M145" s="685"/>
    </row>
    <row r="146" spans="4:13" s="682" customFormat="1" x14ac:dyDescent="0.2">
      <c r="D146" s="683"/>
      <c r="F146" s="684"/>
      <c r="G146" s="684"/>
      <c r="H146" s="684"/>
      <c r="I146" s="684"/>
      <c r="J146" s="684"/>
      <c r="K146" s="684"/>
      <c r="L146" s="684"/>
      <c r="M146" s="685"/>
    </row>
    <row r="147" spans="4:13" s="682" customFormat="1" x14ac:dyDescent="0.2">
      <c r="D147" s="683"/>
      <c r="F147" s="684"/>
      <c r="G147" s="684"/>
      <c r="H147" s="684"/>
      <c r="I147" s="684"/>
      <c r="J147" s="684"/>
      <c r="K147" s="684"/>
      <c r="L147" s="684"/>
      <c r="M147" s="685"/>
    </row>
    <row r="148" spans="4:13" s="682" customFormat="1" x14ac:dyDescent="0.2">
      <c r="D148" s="683"/>
      <c r="F148" s="684"/>
      <c r="G148" s="684"/>
      <c r="H148" s="684"/>
      <c r="I148" s="684"/>
      <c r="J148" s="684"/>
      <c r="K148" s="684"/>
      <c r="L148" s="684"/>
      <c r="M148" s="685"/>
    </row>
    <row r="149" spans="4:13" s="682" customFormat="1" x14ac:dyDescent="0.2">
      <c r="D149" s="683"/>
      <c r="F149" s="684"/>
      <c r="G149" s="684"/>
      <c r="H149" s="684"/>
      <c r="I149" s="684"/>
      <c r="J149" s="684"/>
      <c r="K149" s="684"/>
      <c r="L149" s="684"/>
      <c r="M149" s="685"/>
    </row>
    <row r="150" spans="4:13" s="682" customFormat="1" x14ac:dyDescent="0.2">
      <c r="D150" s="683"/>
      <c r="F150" s="684"/>
      <c r="G150" s="684"/>
      <c r="H150" s="684"/>
      <c r="I150" s="684"/>
      <c r="J150" s="684"/>
      <c r="K150" s="684"/>
      <c r="L150" s="684"/>
      <c r="M150" s="685"/>
    </row>
    <row r="151" spans="4:13" s="682" customFormat="1" x14ac:dyDescent="0.2">
      <c r="D151" s="683"/>
      <c r="F151" s="684"/>
      <c r="G151" s="684"/>
      <c r="H151" s="684"/>
      <c r="I151" s="684"/>
      <c r="J151" s="684"/>
      <c r="K151" s="684"/>
      <c r="L151" s="684"/>
      <c r="M151" s="685"/>
    </row>
    <row r="152" spans="4:13" s="682" customFormat="1" x14ac:dyDescent="0.2">
      <c r="D152" s="683"/>
      <c r="F152" s="684"/>
      <c r="G152" s="684"/>
      <c r="H152" s="684"/>
      <c r="I152" s="684"/>
      <c r="J152" s="684"/>
      <c r="K152" s="684"/>
      <c r="L152" s="684"/>
      <c r="M152" s="685"/>
    </row>
    <row r="153" spans="4:13" s="682" customFormat="1" x14ac:dyDescent="0.2">
      <c r="D153" s="683"/>
      <c r="F153" s="684"/>
      <c r="G153" s="684"/>
      <c r="H153" s="684"/>
      <c r="I153" s="684"/>
      <c r="J153" s="684"/>
      <c r="K153" s="684"/>
      <c r="L153" s="684"/>
      <c r="M153" s="685"/>
    </row>
    <row r="154" spans="4:13" s="682" customFormat="1" x14ac:dyDescent="0.2">
      <c r="D154" s="683"/>
      <c r="F154" s="684"/>
      <c r="G154" s="684"/>
      <c r="H154" s="684"/>
      <c r="I154" s="684"/>
      <c r="J154" s="684"/>
      <c r="K154" s="684"/>
      <c r="L154" s="684"/>
      <c r="M154" s="685"/>
    </row>
    <row r="155" spans="4:13" s="682" customFormat="1" x14ac:dyDescent="0.2">
      <c r="D155" s="683"/>
      <c r="F155" s="684"/>
      <c r="G155" s="684"/>
      <c r="H155" s="684"/>
      <c r="I155" s="684"/>
      <c r="J155" s="684"/>
      <c r="K155" s="684"/>
      <c r="L155" s="684"/>
      <c r="M155" s="685"/>
    </row>
    <row r="156" spans="4:13" s="682" customFormat="1" x14ac:dyDescent="0.2">
      <c r="D156" s="683"/>
      <c r="F156" s="684"/>
      <c r="G156" s="684"/>
      <c r="H156" s="684"/>
      <c r="I156" s="684"/>
      <c r="J156" s="684"/>
      <c r="K156" s="684"/>
      <c r="L156" s="684"/>
      <c r="M156" s="685"/>
    </row>
    <row r="157" spans="4:13" s="682" customFormat="1" x14ac:dyDescent="0.2">
      <c r="D157" s="683"/>
      <c r="F157" s="684"/>
      <c r="G157" s="684"/>
      <c r="H157" s="684"/>
      <c r="I157" s="684"/>
      <c r="J157" s="684"/>
      <c r="K157" s="684"/>
      <c r="L157" s="684"/>
      <c r="M157" s="685"/>
    </row>
    <row r="158" spans="4:13" s="682" customFormat="1" x14ac:dyDescent="0.2">
      <c r="D158" s="683"/>
      <c r="F158" s="684"/>
      <c r="G158" s="684"/>
      <c r="H158" s="684"/>
      <c r="I158" s="684"/>
      <c r="J158" s="684"/>
      <c r="K158" s="684"/>
      <c r="L158" s="684"/>
      <c r="M158" s="685"/>
    </row>
    <row r="159" spans="4:13" s="682" customFormat="1" x14ac:dyDescent="0.2">
      <c r="D159" s="683"/>
      <c r="F159" s="684"/>
      <c r="G159" s="684"/>
      <c r="H159" s="684"/>
      <c r="I159" s="684"/>
      <c r="J159" s="684"/>
      <c r="K159" s="684"/>
      <c r="L159" s="684"/>
      <c r="M159" s="685"/>
    </row>
    <row r="160" spans="4:13" s="682" customFormat="1" x14ac:dyDescent="0.2">
      <c r="D160" s="683"/>
      <c r="F160" s="684"/>
      <c r="G160" s="684"/>
      <c r="H160" s="684"/>
      <c r="I160" s="684"/>
      <c r="J160" s="684"/>
      <c r="K160" s="684"/>
      <c r="L160" s="684"/>
      <c r="M160" s="685"/>
    </row>
    <row r="161" spans="4:13" s="682" customFormat="1" x14ac:dyDescent="0.2">
      <c r="D161" s="683"/>
      <c r="F161" s="684"/>
      <c r="G161" s="684"/>
      <c r="H161" s="684"/>
      <c r="I161" s="684"/>
      <c r="J161" s="684"/>
      <c r="K161" s="684"/>
      <c r="L161" s="684"/>
      <c r="M161" s="685"/>
    </row>
    <row r="162" spans="4:13" s="682" customFormat="1" x14ac:dyDescent="0.2">
      <c r="D162" s="683"/>
      <c r="F162" s="684"/>
      <c r="G162" s="684"/>
      <c r="H162" s="684"/>
      <c r="I162" s="684"/>
      <c r="J162" s="684"/>
      <c r="K162" s="684"/>
      <c r="L162" s="684"/>
      <c r="M162" s="685"/>
    </row>
    <row r="163" spans="4:13" s="682" customFormat="1" x14ac:dyDescent="0.2">
      <c r="D163" s="683"/>
      <c r="F163" s="684"/>
      <c r="G163" s="684"/>
      <c r="H163" s="684"/>
      <c r="I163" s="684"/>
      <c r="J163" s="684"/>
      <c r="K163" s="684"/>
      <c r="L163" s="684"/>
      <c r="M163" s="685"/>
    </row>
    <row r="164" spans="4:13" s="682" customFormat="1" x14ac:dyDescent="0.2">
      <c r="D164" s="683"/>
      <c r="F164" s="684"/>
      <c r="G164" s="684"/>
      <c r="H164" s="684"/>
      <c r="I164" s="684"/>
      <c r="J164" s="684"/>
      <c r="K164" s="684"/>
      <c r="L164" s="684"/>
      <c r="M164" s="685"/>
    </row>
    <row r="165" spans="4:13" s="682" customFormat="1" x14ac:dyDescent="0.2">
      <c r="D165" s="683"/>
      <c r="F165" s="684"/>
      <c r="G165" s="684"/>
      <c r="H165" s="684"/>
      <c r="I165" s="684"/>
      <c r="J165" s="684"/>
      <c r="K165" s="684"/>
      <c r="L165" s="684"/>
      <c r="M165" s="685"/>
    </row>
    <row r="166" spans="4:13" s="682" customFormat="1" x14ac:dyDescent="0.2">
      <c r="D166" s="683"/>
      <c r="F166" s="684"/>
      <c r="G166" s="684"/>
      <c r="H166" s="684"/>
      <c r="I166" s="684"/>
      <c r="J166" s="684"/>
      <c r="K166" s="684"/>
      <c r="L166" s="684"/>
      <c r="M166" s="685"/>
    </row>
    <row r="167" spans="4:13" s="682" customFormat="1" x14ac:dyDescent="0.2">
      <c r="D167" s="683"/>
      <c r="F167" s="684"/>
      <c r="G167" s="684"/>
      <c r="H167" s="684"/>
      <c r="I167" s="684"/>
      <c r="J167" s="684"/>
      <c r="K167" s="684"/>
      <c r="L167" s="684"/>
      <c r="M167" s="685"/>
    </row>
    <row r="168" spans="4:13" s="682" customFormat="1" x14ac:dyDescent="0.2">
      <c r="D168" s="683"/>
      <c r="F168" s="684"/>
      <c r="G168" s="684"/>
      <c r="H168" s="684"/>
      <c r="I168" s="684"/>
      <c r="J168" s="684"/>
      <c r="K168" s="684"/>
      <c r="L168" s="684"/>
      <c r="M168" s="685"/>
    </row>
    <row r="169" spans="4:13" s="682" customFormat="1" x14ac:dyDescent="0.2">
      <c r="D169" s="683"/>
      <c r="F169" s="684"/>
      <c r="G169" s="684"/>
      <c r="H169" s="684"/>
      <c r="I169" s="684"/>
      <c r="J169" s="684"/>
      <c r="K169" s="684"/>
      <c r="L169" s="684"/>
      <c r="M169" s="685"/>
    </row>
    <row r="170" spans="4:13" s="682" customFormat="1" x14ac:dyDescent="0.2">
      <c r="D170" s="683"/>
      <c r="F170" s="684"/>
      <c r="G170" s="684"/>
      <c r="H170" s="684"/>
      <c r="I170" s="684"/>
      <c r="J170" s="684"/>
      <c r="K170" s="684"/>
      <c r="L170" s="684"/>
      <c r="M170" s="685"/>
    </row>
    <row r="171" spans="4:13" s="682" customFormat="1" x14ac:dyDescent="0.2">
      <c r="D171" s="683"/>
      <c r="F171" s="684"/>
      <c r="G171" s="684"/>
      <c r="H171" s="684"/>
      <c r="I171" s="684"/>
      <c r="J171" s="684"/>
      <c r="K171" s="684"/>
      <c r="L171" s="684"/>
      <c r="M171" s="685"/>
    </row>
    <row r="172" spans="4:13" s="682" customFormat="1" x14ac:dyDescent="0.2">
      <c r="D172" s="683"/>
      <c r="F172" s="684"/>
      <c r="G172" s="684"/>
      <c r="H172" s="684"/>
      <c r="I172" s="684"/>
      <c r="J172" s="684"/>
      <c r="K172" s="684"/>
      <c r="L172" s="684"/>
      <c r="M172" s="685"/>
    </row>
    <row r="173" spans="4:13" s="682" customFormat="1" x14ac:dyDescent="0.2">
      <c r="D173" s="683"/>
      <c r="F173" s="684"/>
      <c r="G173" s="684"/>
      <c r="H173" s="684"/>
      <c r="I173" s="684"/>
      <c r="J173" s="684"/>
      <c r="K173" s="684"/>
      <c r="L173" s="684"/>
      <c r="M173" s="685"/>
    </row>
    <row r="174" spans="4:13" s="682" customFormat="1" x14ac:dyDescent="0.2">
      <c r="D174" s="683"/>
      <c r="F174" s="684"/>
      <c r="G174" s="684"/>
      <c r="H174" s="684"/>
      <c r="I174" s="684"/>
      <c r="J174" s="684"/>
      <c r="K174" s="684"/>
      <c r="L174" s="684"/>
      <c r="M174" s="685"/>
    </row>
    <row r="175" spans="4:13" s="682" customFormat="1" x14ac:dyDescent="0.2">
      <c r="D175" s="683"/>
      <c r="F175" s="684"/>
      <c r="G175" s="684"/>
      <c r="H175" s="684"/>
      <c r="I175" s="684"/>
      <c r="J175" s="684"/>
      <c r="K175" s="684"/>
      <c r="L175" s="684"/>
      <c r="M175" s="685"/>
    </row>
    <row r="176" spans="4:13" s="682" customFormat="1" x14ac:dyDescent="0.2">
      <c r="D176" s="683"/>
      <c r="F176" s="684"/>
      <c r="G176" s="684"/>
      <c r="H176" s="684"/>
      <c r="I176" s="684"/>
      <c r="J176" s="684"/>
      <c r="K176" s="684"/>
      <c r="L176" s="684"/>
      <c r="M176" s="685"/>
    </row>
    <row r="177" spans="4:13" s="682" customFormat="1" x14ac:dyDescent="0.2">
      <c r="D177" s="683"/>
      <c r="F177" s="684"/>
      <c r="G177" s="684"/>
      <c r="H177" s="684"/>
      <c r="I177" s="684"/>
      <c r="J177" s="684"/>
      <c r="K177" s="684"/>
      <c r="L177" s="684"/>
      <c r="M177" s="685"/>
    </row>
    <row r="178" spans="4:13" s="682" customFormat="1" x14ac:dyDescent="0.2">
      <c r="D178" s="683"/>
      <c r="F178" s="684"/>
      <c r="G178" s="684"/>
      <c r="H178" s="684"/>
      <c r="I178" s="684"/>
      <c r="J178" s="684"/>
      <c r="K178" s="684"/>
      <c r="L178" s="684"/>
      <c r="M178" s="685"/>
    </row>
    <row r="179" spans="4:13" s="682" customFormat="1" x14ac:dyDescent="0.2">
      <c r="D179" s="683"/>
      <c r="F179" s="684"/>
      <c r="G179" s="684"/>
      <c r="H179" s="684"/>
      <c r="I179" s="684"/>
      <c r="J179" s="684"/>
      <c r="K179" s="684"/>
      <c r="L179" s="684"/>
      <c r="M179" s="685"/>
    </row>
    <row r="180" spans="4:13" s="682" customFormat="1" x14ac:dyDescent="0.2">
      <c r="D180" s="683"/>
      <c r="F180" s="684"/>
      <c r="G180" s="684"/>
      <c r="H180" s="684"/>
      <c r="I180" s="684"/>
      <c r="J180" s="684"/>
      <c r="K180" s="684"/>
      <c r="L180" s="684"/>
      <c r="M180" s="685"/>
    </row>
    <row r="181" spans="4:13" s="682" customFormat="1" x14ac:dyDescent="0.2">
      <c r="D181" s="683"/>
      <c r="F181" s="684"/>
      <c r="G181" s="684"/>
      <c r="H181" s="684"/>
      <c r="I181" s="684"/>
      <c r="J181" s="684"/>
      <c r="K181" s="684"/>
      <c r="L181" s="684"/>
      <c r="M181" s="685"/>
    </row>
    <row r="182" spans="4:13" s="682" customFormat="1" x14ac:dyDescent="0.2">
      <c r="D182" s="683"/>
      <c r="F182" s="684"/>
      <c r="G182" s="684"/>
      <c r="H182" s="684"/>
      <c r="I182" s="684"/>
      <c r="J182" s="684"/>
      <c r="K182" s="684"/>
      <c r="L182" s="684"/>
      <c r="M182" s="685"/>
    </row>
    <row r="183" spans="4:13" s="682" customFormat="1" x14ac:dyDescent="0.2">
      <c r="D183" s="683"/>
      <c r="F183" s="684"/>
      <c r="G183" s="684"/>
      <c r="H183" s="684"/>
      <c r="I183" s="684"/>
      <c r="J183" s="684"/>
      <c r="K183" s="684"/>
      <c r="L183" s="684"/>
      <c r="M183" s="685"/>
    </row>
    <row r="184" spans="4:13" s="682" customFormat="1" x14ac:dyDescent="0.2">
      <c r="D184" s="683"/>
      <c r="F184" s="684"/>
      <c r="G184" s="684"/>
      <c r="H184" s="684"/>
      <c r="I184" s="684"/>
      <c r="J184" s="684"/>
      <c r="K184" s="684"/>
      <c r="L184" s="684"/>
      <c r="M184" s="685"/>
    </row>
    <row r="185" spans="4:13" s="682" customFormat="1" x14ac:dyDescent="0.2">
      <c r="D185" s="683"/>
      <c r="F185" s="684"/>
      <c r="G185" s="684"/>
      <c r="H185" s="684"/>
      <c r="I185" s="684"/>
      <c r="J185" s="684"/>
      <c r="K185" s="684"/>
      <c r="L185" s="684"/>
      <c r="M185" s="685"/>
    </row>
    <row r="186" spans="4:13" s="682" customFormat="1" x14ac:dyDescent="0.2">
      <c r="D186" s="683"/>
      <c r="F186" s="684"/>
      <c r="G186" s="684"/>
      <c r="H186" s="684"/>
      <c r="I186" s="684"/>
      <c r="J186" s="684"/>
      <c r="K186" s="684"/>
      <c r="L186" s="684"/>
      <c r="M186" s="685"/>
    </row>
    <row r="187" spans="4:13" s="682" customFormat="1" x14ac:dyDescent="0.2">
      <c r="D187" s="683"/>
      <c r="F187" s="684"/>
      <c r="G187" s="684"/>
      <c r="H187" s="684"/>
      <c r="I187" s="684"/>
      <c r="J187" s="684"/>
      <c r="K187" s="684"/>
      <c r="L187" s="684"/>
      <c r="M187" s="685"/>
    </row>
    <row r="188" spans="4:13" s="682" customFormat="1" x14ac:dyDescent="0.2">
      <c r="D188" s="683"/>
      <c r="F188" s="684"/>
      <c r="G188" s="684"/>
      <c r="H188" s="684"/>
      <c r="I188" s="684"/>
      <c r="J188" s="684"/>
      <c r="K188" s="684"/>
      <c r="L188" s="684"/>
      <c r="M188" s="685"/>
    </row>
    <row r="189" spans="4:13" s="682" customFormat="1" x14ac:dyDescent="0.2">
      <c r="D189" s="683"/>
      <c r="F189" s="684"/>
      <c r="G189" s="684"/>
      <c r="H189" s="684"/>
      <c r="I189" s="684"/>
      <c r="J189" s="684"/>
      <c r="K189" s="684"/>
      <c r="L189" s="684"/>
      <c r="M189" s="685"/>
    </row>
    <row r="190" spans="4:13" s="682" customFormat="1" x14ac:dyDescent="0.2">
      <c r="D190" s="683"/>
      <c r="F190" s="684"/>
      <c r="G190" s="684"/>
      <c r="H190" s="684"/>
      <c r="I190" s="684"/>
      <c r="J190" s="684"/>
      <c r="K190" s="684"/>
      <c r="L190" s="684"/>
      <c r="M190" s="685"/>
    </row>
    <row r="191" spans="4:13" s="682" customFormat="1" x14ac:dyDescent="0.2">
      <c r="D191" s="683"/>
      <c r="F191" s="684"/>
      <c r="G191" s="684"/>
      <c r="H191" s="684"/>
      <c r="I191" s="684"/>
      <c r="J191" s="684"/>
      <c r="K191" s="684"/>
      <c r="L191" s="684"/>
      <c r="M191" s="685"/>
    </row>
    <row r="192" spans="4:13" s="682" customFormat="1" x14ac:dyDescent="0.2">
      <c r="D192" s="683"/>
      <c r="F192" s="684"/>
      <c r="G192" s="684"/>
      <c r="H192" s="684"/>
      <c r="I192" s="684"/>
      <c r="J192" s="684"/>
      <c r="K192" s="684"/>
      <c r="L192" s="684"/>
      <c r="M192" s="685"/>
    </row>
    <row r="193" spans="4:13" s="682" customFormat="1" x14ac:dyDescent="0.2">
      <c r="D193" s="683"/>
      <c r="F193" s="684"/>
      <c r="G193" s="684"/>
      <c r="H193" s="684"/>
      <c r="I193" s="684"/>
      <c r="J193" s="684"/>
      <c r="K193" s="684"/>
      <c r="L193" s="684"/>
      <c r="M193" s="685"/>
    </row>
    <row r="194" spans="4:13" s="682" customFormat="1" x14ac:dyDescent="0.2">
      <c r="D194" s="683"/>
      <c r="F194" s="684"/>
      <c r="G194" s="684"/>
      <c r="H194" s="684"/>
      <c r="I194" s="684"/>
      <c r="J194" s="684"/>
      <c r="K194" s="684"/>
      <c r="L194" s="684"/>
      <c r="M194" s="685"/>
    </row>
    <row r="195" spans="4:13" s="682" customFormat="1" x14ac:dyDescent="0.2">
      <c r="D195" s="683"/>
      <c r="F195" s="684"/>
      <c r="G195" s="684"/>
      <c r="H195" s="684"/>
      <c r="I195" s="684"/>
      <c r="J195" s="684"/>
      <c r="K195" s="684"/>
      <c r="L195" s="684"/>
      <c r="M195" s="685"/>
    </row>
    <row r="196" spans="4:13" s="682" customFormat="1" x14ac:dyDescent="0.2">
      <c r="D196" s="683"/>
      <c r="F196" s="684"/>
      <c r="G196" s="684"/>
      <c r="H196" s="684"/>
      <c r="I196" s="684"/>
      <c r="J196" s="684"/>
      <c r="K196" s="684"/>
      <c r="L196" s="684"/>
      <c r="M196" s="685"/>
    </row>
    <row r="197" spans="4:13" s="682" customFormat="1" x14ac:dyDescent="0.2">
      <c r="D197" s="683"/>
      <c r="F197" s="684"/>
      <c r="G197" s="684"/>
      <c r="H197" s="684"/>
      <c r="I197" s="684"/>
      <c r="J197" s="684"/>
      <c r="K197" s="684"/>
      <c r="L197" s="684"/>
      <c r="M197" s="685"/>
    </row>
    <row r="198" spans="4:13" s="682" customFormat="1" x14ac:dyDescent="0.2">
      <c r="D198" s="683"/>
      <c r="F198" s="684"/>
      <c r="G198" s="684"/>
      <c r="H198" s="684"/>
      <c r="I198" s="684"/>
      <c r="J198" s="684"/>
      <c r="K198" s="684"/>
      <c r="L198" s="684"/>
      <c r="M198" s="685"/>
    </row>
    <row r="199" spans="4:13" s="682" customFormat="1" x14ac:dyDescent="0.2">
      <c r="D199" s="683"/>
      <c r="F199" s="684"/>
      <c r="G199" s="684"/>
      <c r="H199" s="684"/>
      <c r="I199" s="684"/>
      <c r="J199" s="684"/>
      <c r="K199" s="684"/>
      <c r="L199" s="684"/>
      <c r="M199" s="685"/>
    </row>
    <row r="200" spans="4:13" s="682" customFormat="1" x14ac:dyDescent="0.2">
      <c r="D200" s="683"/>
      <c r="F200" s="684"/>
      <c r="G200" s="684"/>
      <c r="H200" s="684"/>
      <c r="I200" s="684"/>
      <c r="J200" s="684"/>
      <c r="K200" s="684"/>
      <c r="L200" s="684"/>
      <c r="M200" s="685"/>
    </row>
    <row r="201" spans="4:13" s="682" customFormat="1" x14ac:dyDescent="0.2">
      <c r="D201" s="683"/>
      <c r="F201" s="684"/>
      <c r="G201" s="684"/>
      <c r="H201" s="684"/>
      <c r="I201" s="684"/>
      <c r="J201" s="684"/>
      <c r="K201" s="684"/>
      <c r="L201" s="684"/>
      <c r="M201" s="685"/>
    </row>
    <row r="202" spans="4:13" s="682" customFormat="1" x14ac:dyDescent="0.2">
      <c r="D202" s="683"/>
      <c r="F202" s="684"/>
      <c r="G202" s="684"/>
      <c r="H202" s="684"/>
      <c r="I202" s="684"/>
      <c r="J202" s="684"/>
      <c r="K202" s="684"/>
      <c r="L202" s="684"/>
      <c r="M202" s="685"/>
    </row>
    <row r="203" spans="4:13" s="682" customFormat="1" x14ac:dyDescent="0.2">
      <c r="D203" s="683"/>
      <c r="F203" s="684"/>
      <c r="G203" s="684"/>
      <c r="H203" s="684"/>
      <c r="I203" s="684"/>
      <c r="J203" s="684"/>
      <c r="K203" s="684"/>
      <c r="L203" s="684"/>
      <c r="M203" s="685"/>
    </row>
    <row r="204" spans="4:13" s="682" customFormat="1" x14ac:dyDescent="0.2">
      <c r="D204" s="683"/>
      <c r="F204" s="684"/>
      <c r="G204" s="684"/>
      <c r="H204" s="684"/>
      <c r="I204" s="684"/>
      <c r="J204" s="684"/>
      <c r="K204" s="684"/>
      <c r="L204" s="684"/>
      <c r="M204" s="685"/>
    </row>
    <row r="205" spans="4:13" s="682" customFormat="1" x14ac:dyDescent="0.2">
      <c r="D205" s="683"/>
      <c r="F205" s="684"/>
      <c r="G205" s="684"/>
      <c r="H205" s="684"/>
      <c r="I205" s="684"/>
      <c r="J205" s="684"/>
      <c r="K205" s="684"/>
      <c r="L205" s="684"/>
      <c r="M205" s="685"/>
    </row>
    <row r="206" spans="4:13" s="682" customFormat="1" x14ac:dyDescent="0.2">
      <c r="D206" s="683"/>
      <c r="F206" s="684"/>
      <c r="G206" s="684"/>
      <c r="H206" s="684"/>
      <c r="I206" s="684"/>
      <c r="J206" s="684"/>
      <c r="K206" s="684"/>
      <c r="L206" s="684"/>
      <c r="M206" s="685"/>
    </row>
    <row r="207" spans="4:13" s="682" customFormat="1" x14ac:dyDescent="0.2">
      <c r="D207" s="683"/>
      <c r="F207" s="684"/>
      <c r="G207" s="684"/>
      <c r="H207" s="684"/>
      <c r="I207" s="684"/>
      <c r="J207" s="684"/>
      <c r="K207" s="684"/>
      <c r="L207" s="684"/>
      <c r="M207" s="685"/>
    </row>
    <row r="208" spans="4:13" s="682" customFormat="1" x14ac:dyDescent="0.2">
      <c r="D208" s="683"/>
      <c r="F208" s="684"/>
      <c r="G208" s="684"/>
      <c r="H208" s="684"/>
      <c r="I208" s="684"/>
      <c r="J208" s="684"/>
      <c r="K208" s="684"/>
      <c r="L208" s="684"/>
      <c r="M208" s="685"/>
    </row>
    <row r="209" spans="4:13" s="682" customFormat="1" x14ac:dyDescent="0.2">
      <c r="D209" s="683"/>
      <c r="F209" s="684"/>
      <c r="G209" s="684"/>
      <c r="H209" s="684"/>
      <c r="I209" s="684"/>
      <c r="J209" s="684"/>
      <c r="K209" s="684"/>
      <c r="L209" s="684"/>
      <c r="M209" s="685"/>
    </row>
    <row r="210" spans="4:13" s="682" customFormat="1" x14ac:dyDescent="0.2">
      <c r="D210" s="683"/>
      <c r="F210" s="684"/>
      <c r="G210" s="684"/>
      <c r="H210" s="684"/>
      <c r="I210" s="684"/>
      <c r="J210" s="684"/>
      <c r="K210" s="684"/>
      <c r="L210" s="684"/>
      <c r="M210" s="685"/>
    </row>
    <row r="211" spans="4:13" s="682" customFormat="1" x14ac:dyDescent="0.2">
      <c r="D211" s="683"/>
      <c r="F211" s="684"/>
      <c r="G211" s="684"/>
      <c r="H211" s="684"/>
      <c r="I211" s="684"/>
      <c r="J211" s="684"/>
      <c r="K211" s="684"/>
      <c r="L211" s="684"/>
      <c r="M211" s="685"/>
    </row>
    <row r="212" spans="4:13" s="682" customFormat="1" x14ac:dyDescent="0.2">
      <c r="D212" s="683"/>
      <c r="F212" s="684"/>
      <c r="G212" s="684"/>
      <c r="H212" s="684"/>
      <c r="I212" s="684"/>
      <c r="J212" s="684"/>
      <c r="K212" s="684"/>
      <c r="L212" s="684"/>
      <c r="M212" s="685"/>
    </row>
    <row r="213" spans="4:13" s="682" customFormat="1" x14ac:dyDescent="0.2">
      <c r="D213" s="683"/>
      <c r="F213" s="684"/>
      <c r="G213" s="684"/>
      <c r="H213" s="684"/>
      <c r="I213" s="684"/>
      <c r="J213" s="684"/>
      <c r="K213" s="684"/>
      <c r="L213" s="684"/>
      <c r="M213" s="685"/>
    </row>
    <row r="214" spans="4:13" s="682" customFormat="1" x14ac:dyDescent="0.2">
      <c r="D214" s="683"/>
      <c r="F214" s="684"/>
      <c r="G214" s="684"/>
      <c r="H214" s="684"/>
      <c r="I214" s="684"/>
      <c r="J214" s="684"/>
      <c r="K214" s="684"/>
      <c r="L214" s="684"/>
      <c r="M214" s="685"/>
    </row>
    <row r="215" spans="4:13" s="682" customFormat="1" x14ac:dyDescent="0.2">
      <c r="D215" s="683"/>
      <c r="F215" s="684"/>
      <c r="G215" s="684"/>
      <c r="H215" s="684"/>
      <c r="I215" s="684"/>
      <c r="J215" s="684"/>
      <c r="K215" s="684"/>
      <c r="L215" s="684"/>
      <c r="M215" s="685"/>
    </row>
    <row r="216" spans="4:13" s="682" customFormat="1" x14ac:dyDescent="0.2">
      <c r="D216" s="683"/>
      <c r="F216" s="684"/>
      <c r="G216" s="684"/>
      <c r="H216" s="684"/>
      <c r="I216" s="684"/>
      <c r="J216" s="684"/>
      <c r="K216" s="684"/>
      <c r="L216" s="684"/>
      <c r="M216" s="685"/>
    </row>
    <row r="217" spans="4:13" s="682" customFormat="1" x14ac:dyDescent="0.2">
      <c r="D217" s="683"/>
      <c r="F217" s="684"/>
      <c r="G217" s="684"/>
      <c r="H217" s="684"/>
      <c r="I217" s="684"/>
      <c r="J217" s="684"/>
      <c r="K217" s="684"/>
      <c r="L217" s="684"/>
      <c r="M217" s="685"/>
    </row>
    <row r="218" spans="4:13" s="682" customFormat="1" x14ac:dyDescent="0.2">
      <c r="D218" s="683"/>
      <c r="F218" s="684"/>
      <c r="G218" s="684"/>
      <c r="H218" s="684"/>
      <c r="I218" s="684"/>
      <c r="J218" s="684"/>
      <c r="K218" s="684"/>
      <c r="L218" s="684"/>
      <c r="M218" s="685"/>
    </row>
    <row r="219" spans="4:13" s="682" customFormat="1" x14ac:dyDescent="0.2">
      <c r="D219" s="683"/>
      <c r="F219" s="684"/>
      <c r="G219" s="684"/>
      <c r="H219" s="684"/>
      <c r="I219" s="684"/>
      <c r="J219" s="684"/>
      <c r="K219" s="684"/>
      <c r="L219" s="684"/>
      <c r="M219" s="685"/>
    </row>
    <row r="220" spans="4:13" s="682" customFormat="1" x14ac:dyDescent="0.2">
      <c r="D220" s="683"/>
      <c r="F220" s="684"/>
      <c r="G220" s="684"/>
      <c r="H220" s="684"/>
      <c r="I220" s="684"/>
      <c r="J220" s="684"/>
      <c r="K220" s="684"/>
      <c r="L220" s="684"/>
      <c r="M220" s="685"/>
    </row>
    <row r="221" spans="4:13" s="682" customFormat="1" x14ac:dyDescent="0.2">
      <c r="D221" s="683"/>
      <c r="F221" s="684"/>
      <c r="G221" s="684"/>
      <c r="H221" s="684"/>
      <c r="I221" s="684"/>
      <c r="J221" s="684"/>
      <c r="K221" s="684"/>
      <c r="L221" s="684"/>
      <c r="M221" s="685"/>
    </row>
    <row r="222" spans="4:13" s="682" customFormat="1" x14ac:dyDescent="0.2">
      <c r="D222" s="683"/>
      <c r="F222" s="684"/>
      <c r="G222" s="684"/>
      <c r="H222" s="684"/>
      <c r="I222" s="684"/>
      <c r="J222" s="684"/>
      <c r="K222" s="684"/>
      <c r="L222" s="684"/>
      <c r="M222" s="685"/>
    </row>
    <row r="223" spans="4:13" s="682" customFormat="1" x14ac:dyDescent="0.2">
      <c r="D223" s="683"/>
      <c r="F223" s="684"/>
      <c r="G223" s="684"/>
      <c r="H223" s="684"/>
      <c r="I223" s="684"/>
      <c r="J223" s="684"/>
      <c r="K223" s="684"/>
      <c r="L223" s="684"/>
      <c r="M223" s="685"/>
    </row>
    <row r="224" spans="4:13" s="682" customFormat="1" x14ac:dyDescent="0.2">
      <c r="D224" s="683"/>
      <c r="F224" s="684"/>
      <c r="G224" s="684"/>
      <c r="H224" s="684"/>
      <c r="I224" s="684"/>
      <c r="J224" s="684"/>
      <c r="K224" s="684"/>
      <c r="L224" s="684"/>
      <c r="M224" s="685"/>
    </row>
    <row r="225" spans="4:13" s="682" customFormat="1" x14ac:dyDescent="0.2">
      <c r="D225" s="683"/>
      <c r="F225" s="684"/>
      <c r="G225" s="684"/>
      <c r="H225" s="684"/>
      <c r="I225" s="684"/>
      <c r="J225" s="684"/>
      <c r="K225" s="684"/>
      <c r="L225" s="684"/>
      <c r="M225" s="685"/>
    </row>
    <row r="226" spans="4:13" s="682" customFormat="1" x14ac:dyDescent="0.2">
      <c r="D226" s="683"/>
      <c r="F226" s="684"/>
      <c r="G226" s="684"/>
      <c r="H226" s="684"/>
      <c r="I226" s="684"/>
      <c r="J226" s="684"/>
      <c r="K226" s="684"/>
      <c r="L226" s="684"/>
      <c r="M226" s="685"/>
    </row>
    <row r="227" spans="4:13" s="682" customFormat="1" x14ac:dyDescent="0.2">
      <c r="D227" s="683"/>
      <c r="F227" s="684"/>
      <c r="G227" s="684"/>
      <c r="H227" s="684"/>
      <c r="I227" s="684"/>
      <c r="J227" s="684"/>
      <c r="K227" s="684"/>
      <c r="L227" s="684"/>
      <c r="M227" s="685"/>
    </row>
    <row r="228" spans="4:13" s="682" customFormat="1" x14ac:dyDescent="0.2">
      <c r="D228" s="683"/>
      <c r="F228" s="684"/>
      <c r="G228" s="684"/>
      <c r="H228" s="684"/>
      <c r="I228" s="684"/>
      <c r="J228" s="684"/>
      <c r="K228" s="684"/>
      <c r="L228" s="684"/>
      <c r="M228" s="685"/>
    </row>
    <row r="229" spans="4:13" s="682" customFormat="1" x14ac:dyDescent="0.2">
      <c r="D229" s="683"/>
      <c r="F229" s="684"/>
      <c r="G229" s="684"/>
      <c r="H229" s="684"/>
      <c r="I229" s="684"/>
      <c r="J229" s="684"/>
      <c r="K229" s="684"/>
      <c r="L229" s="684"/>
      <c r="M229" s="685"/>
    </row>
    <row r="230" spans="4:13" s="682" customFormat="1" x14ac:dyDescent="0.2">
      <c r="D230" s="683"/>
      <c r="F230" s="684"/>
      <c r="G230" s="684"/>
      <c r="H230" s="684"/>
      <c r="I230" s="684"/>
      <c r="J230" s="684"/>
      <c r="K230" s="684"/>
      <c r="L230" s="684"/>
      <c r="M230" s="685"/>
    </row>
    <row r="231" spans="4:13" s="682" customFormat="1" x14ac:dyDescent="0.2">
      <c r="D231" s="683"/>
      <c r="F231" s="684"/>
      <c r="G231" s="684"/>
      <c r="H231" s="684"/>
      <c r="I231" s="684"/>
      <c r="J231" s="684"/>
      <c r="K231" s="684"/>
      <c r="L231" s="684"/>
      <c r="M231" s="685"/>
    </row>
    <row r="232" spans="4:13" s="682" customFormat="1" x14ac:dyDescent="0.2">
      <c r="D232" s="683"/>
      <c r="F232" s="684"/>
      <c r="G232" s="684"/>
      <c r="H232" s="684"/>
      <c r="I232" s="684"/>
      <c r="J232" s="684"/>
      <c r="K232" s="684"/>
      <c r="L232" s="684"/>
      <c r="M232" s="685"/>
    </row>
    <row r="233" spans="4:13" s="682" customFormat="1" x14ac:dyDescent="0.2">
      <c r="D233" s="683"/>
      <c r="F233" s="684"/>
      <c r="G233" s="684"/>
      <c r="H233" s="684"/>
      <c r="I233" s="684"/>
      <c r="J233" s="684"/>
      <c r="K233" s="684"/>
      <c r="L233" s="684"/>
      <c r="M233" s="685"/>
    </row>
    <row r="234" spans="4:13" s="682" customFormat="1" x14ac:dyDescent="0.2">
      <c r="D234" s="683"/>
      <c r="F234" s="684"/>
      <c r="G234" s="684"/>
      <c r="H234" s="684"/>
      <c r="I234" s="684"/>
      <c r="J234" s="684"/>
      <c r="K234" s="684"/>
      <c r="L234" s="684"/>
      <c r="M234" s="685"/>
    </row>
    <row r="235" spans="4:13" s="682" customFormat="1" x14ac:dyDescent="0.2">
      <c r="D235" s="683"/>
      <c r="F235" s="684"/>
      <c r="G235" s="684"/>
      <c r="H235" s="684"/>
      <c r="I235" s="684"/>
      <c r="J235" s="684"/>
      <c r="K235" s="684"/>
      <c r="L235" s="684"/>
      <c r="M235" s="685"/>
    </row>
    <row r="236" spans="4:13" s="682" customFormat="1" x14ac:dyDescent="0.2">
      <c r="D236" s="683"/>
      <c r="F236" s="684"/>
      <c r="G236" s="684"/>
      <c r="H236" s="684"/>
      <c r="I236" s="684"/>
      <c r="J236" s="684"/>
      <c r="K236" s="684"/>
      <c r="L236" s="684"/>
      <c r="M236" s="685"/>
    </row>
    <row r="237" spans="4:13" s="682" customFormat="1" x14ac:dyDescent="0.2">
      <c r="D237" s="683"/>
      <c r="F237" s="684"/>
      <c r="G237" s="684"/>
      <c r="H237" s="684"/>
      <c r="I237" s="684"/>
      <c r="J237" s="684"/>
      <c r="K237" s="684"/>
      <c r="L237" s="684"/>
      <c r="M237" s="685"/>
    </row>
    <row r="238" spans="4:13" s="682" customFormat="1" x14ac:dyDescent="0.2">
      <c r="D238" s="683"/>
      <c r="F238" s="684"/>
      <c r="G238" s="684"/>
      <c r="H238" s="684"/>
      <c r="I238" s="684"/>
      <c r="J238" s="684"/>
      <c r="K238" s="684"/>
      <c r="L238" s="684"/>
      <c r="M238" s="685"/>
    </row>
    <row r="239" spans="4:13" s="682" customFormat="1" x14ac:dyDescent="0.2">
      <c r="D239" s="683"/>
      <c r="F239" s="684"/>
      <c r="G239" s="684"/>
      <c r="H239" s="684"/>
      <c r="I239" s="684"/>
      <c r="J239" s="684"/>
      <c r="K239" s="684"/>
      <c r="L239" s="684"/>
      <c r="M239" s="685"/>
    </row>
    <row r="240" spans="4:13" s="682" customFormat="1" x14ac:dyDescent="0.2">
      <c r="D240" s="683"/>
      <c r="F240" s="684"/>
      <c r="G240" s="684"/>
      <c r="H240" s="684"/>
      <c r="I240" s="684"/>
      <c r="J240" s="684"/>
      <c r="K240" s="684"/>
      <c r="L240" s="684"/>
      <c r="M240" s="685"/>
    </row>
    <row r="241" spans="4:13" s="682" customFormat="1" x14ac:dyDescent="0.2">
      <c r="D241" s="683"/>
      <c r="F241" s="684"/>
      <c r="G241" s="684"/>
      <c r="H241" s="684"/>
      <c r="I241" s="684"/>
      <c r="J241" s="684"/>
      <c r="K241" s="684"/>
      <c r="L241" s="684"/>
      <c r="M241" s="685"/>
    </row>
    <row r="242" spans="4:13" s="682" customFormat="1" x14ac:dyDescent="0.2">
      <c r="D242" s="683"/>
      <c r="F242" s="684"/>
      <c r="G242" s="684"/>
      <c r="H242" s="684"/>
      <c r="I242" s="684"/>
      <c r="J242" s="684"/>
      <c r="K242" s="684"/>
      <c r="L242" s="684"/>
      <c r="M242" s="685"/>
    </row>
    <row r="243" spans="4:13" s="682" customFormat="1" x14ac:dyDescent="0.2">
      <c r="D243" s="683"/>
      <c r="F243" s="684"/>
      <c r="G243" s="684"/>
      <c r="H243" s="684"/>
      <c r="I243" s="684"/>
      <c r="J243" s="684"/>
      <c r="K243" s="684"/>
      <c r="L243" s="684"/>
      <c r="M243" s="685"/>
    </row>
    <row r="244" spans="4:13" s="682" customFormat="1" x14ac:dyDescent="0.2">
      <c r="D244" s="683"/>
      <c r="F244" s="684"/>
      <c r="G244" s="684"/>
      <c r="H244" s="684"/>
      <c r="I244" s="684"/>
      <c r="J244" s="684"/>
      <c r="K244" s="684"/>
      <c r="L244" s="684"/>
      <c r="M244" s="685"/>
    </row>
    <row r="245" spans="4:13" s="682" customFormat="1" x14ac:dyDescent="0.2">
      <c r="D245" s="683"/>
      <c r="F245" s="684"/>
      <c r="G245" s="684"/>
      <c r="H245" s="684"/>
      <c r="I245" s="684"/>
      <c r="J245" s="684"/>
      <c r="K245" s="684"/>
      <c r="L245" s="684"/>
      <c r="M245" s="685"/>
    </row>
    <row r="246" spans="4:13" s="682" customFormat="1" x14ac:dyDescent="0.2">
      <c r="D246" s="683"/>
      <c r="F246" s="684"/>
      <c r="G246" s="684"/>
      <c r="H246" s="684"/>
      <c r="I246" s="684"/>
      <c r="J246" s="684"/>
      <c r="K246" s="684"/>
      <c r="L246" s="684"/>
      <c r="M246" s="685"/>
    </row>
    <row r="247" spans="4:13" s="682" customFormat="1" x14ac:dyDescent="0.2">
      <c r="D247" s="683"/>
      <c r="F247" s="684"/>
      <c r="G247" s="684"/>
      <c r="H247" s="684"/>
      <c r="I247" s="684"/>
      <c r="J247" s="684"/>
      <c r="K247" s="684"/>
      <c r="L247" s="684"/>
      <c r="M247" s="685"/>
    </row>
    <row r="248" spans="4:13" s="682" customFormat="1" x14ac:dyDescent="0.2">
      <c r="D248" s="683"/>
      <c r="F248" s="684"/>
      <c r="G248" s="684"/>
      <c r="H248" s="684"/>
      <c r="I248" s="684"/>
      <c r="J248" s="684"/>
      <c r="K248" s="684"/>
      <c r="L248" s="684"/>
      <c r="M248" s="685"/>
    </row>
    <row r="249" spans="4:13" s="682" customFormat="1" x14ac:dyDescent="0.2">
      <c r="D249" s="683"/>
      <c r="F249" s="684"/>
      <c r="G249" s="684"/>
      <c r="H249" s="684"/>
      <c r="I249" s="684"/>
      <c r="J249" s="684"/>
      <c r="K249" s="684"/>
      <c r="L249" s="684"/>
      <c r="M249" s="685"/>
    </row>
    <row r="250" spans="4:13" s="682" customFormat="1" x14ac:dyDescent="0.2">
      <c r="D250" s="683"/>
      <c r="F250" s="684"/>
      <c r="G250" s="684"/>
      <c r="H250" s="684"/>
      <c r="I250" s="684"/>
      <c r="J250" s="684"/>
      <c r="K250" s="684"/>
      <c r="L250" s="684"/>
      <c r="M250" s="685"/>
    </row>
    <row r="251" spans="4:13" s="682" customFormat="1" x14ac:dyDescent="0.2">
      <c r="D251" s="683"/>
      <c r="F251" s="684"/>
      <c r="G251" s="684"/>
      <c r="H251" s="684"/>
      <c r="I251" s="684"/>
      <c r="J251" s="684"/>
      <c r="K251" s="684"/>
      <c r="L251" s="684"/>
      <c r="M251" s="685"/>
    </row>
    <row r="252" spans="4:13" s="682" customFormat="1" x14ac:dyDescent="0.2">
      <c r="D252" s="683"/>
      <c r="F252" s="684"/>
      <c r="G252" s="684"/>
      <c r="H252" s="684"/>
      <c r="I252" s="684"/>
      <c r="J252" s="684"/>
      <c r="K252" s="684"/>
      <c r="L252" s="684"/>
      <c r="M252" s="685"/>
    </row>
    <row r="253" spans="4:13" s="682" customFormat="1" x14ac:dyDescent="0.2">
      <c r="D253" s="683"/>
      <c r="F253" s="684"/>
      <c r="G253" s="684"/>
      <c r="H253" s="684"/>
      <c r="I253" s="684"/>
      <c r="J253" s="684"/>
      <c r="K253" s="684"/>
      <c r="L253" s="684"/>
      <c r="M253" s="685"/>
    </row>
    <row r="254" spans="4:13" s="682" customFormat="1" x14ac:dyDescent="0.2">
      <c r="D254" s="683"/>
      <c r="F254" s="684"/>
      <c r="G254" s="684"/>
      <c r="H254" s="684"/>
      <c r="I254" s="684"/>
      <c r="J254" s="684"/>
      <c r="K254" s="684"/>
      <c r="L254" s="684"/>
      <c r="M254" s="685"/>
    </row>
    <row r="255" spans="4:13" s="682" customFormat="1" x14ac:dyDescent="0.2">
      <c r="D255" s="683"/>
      <c r="F255" s="684"/>
      <c r="G255" s="684"/>
      <c r="H255" s="684"/>
      <c r="I255" s="684"/>
      <c r="J255" s="684"/>
      <c r="K255" s="684"/>
      <c r="L255" s="684"/>
      <c r="M255" s="685"/>
    </row>
    <row r="256" spans="4:13" s="682" customFormat="1" x14ac:dyDescent="0.2">
      <c r="D256" s="683"/>
      <c r="F256" s="684"/>
      <c r="G256" s="684"/>
      <c r="H256" s="684"/>
      <c r="I256" s="684"/>
      <c r="J256" s="684"/>
      <c r="K256" s="684"/>
      <c r="L256" s="684"/>
      <c r="M256" s="685"/>
    </row>
    <row r="257" spans="4:13" s="682" customFormat="1" x14ac:dyDescent="0.2">
      <c r="D257" s="683"/>
      <c r="F257" s="684"/>
      <c r="G257" s="684"/>
      <c r="H257" s="684"/>
      <c r="I257" s="684"/>
      <c r="J257" s="684"/>
      <c r="K257" s="684"/>
      <c r="L257" s="684"/>
      <c r="M257" s="685"/>
    </row>
    <row r="258" spans="4:13" s="682" customFormat="1" x14ac:dyDescent="0.2">
      <c r="D258" s="683"/>
      <c r="F258" s="684"/>
      <c r="G258" s="684"/>
      <c r="H258" s="684"/>
      <c r="I258" s="684"/>
      <c r="J258" s="684"/>
      <c r="K258" s="684"/>
      <c r="L258" s="684"/>
      <c r="M258" s="685"/>
    </row>
    <row r="259" spans="4:13" s="682" customFormat="1" x14ac:dyDescent="0.2">
      <c r="D259" s="683"/>
      <c r="F259" s="684"/>
      <c r="G259" s="684"/>
      <c r="H259" s="684"/>
      <c r="I259" s="684"/>
      <c r="J259" s="684"/>
      <c r="K259" s="684"/>
      <c r="L259" s="684"/>
      <c r="M259" s="685"/>
    </row>
    <row r="260" spans="4:13" s="682" customFormat="1" x14ac:dyDescent="0.2">
      <c r="D260" s="683"/>
      <c r="F260" s="684"/>
      <c r="G260" s="684"/>
      <c r="H260" s="684"/>
      <c r="I260" s="684"/>
      <c r="J260" s="684"/>
      <c r="K260" s="684"/>
      <c r="L260" s="684"/>
      <c r="M260" s="685"/>
    </row>
    <row r="261" spans="4:13" s="682" customFormat="1" x14ac:dyDescent="0.2">
      <c r="D261" s="683"/>
      <c r="F261" s="684"/>
      <c r="G261" s="684"/>
      <c r="H261" s="684"/>
      <c r="I261" s="684"/>
      <c r="J261" s="684"/>
      <c r="K261" s="684"/>
      <c r="L261" s="684"/>
      <c r="M261" s="685"/>
    </row>
    <row r="262" spans="4:13" s="682" customFormat="1" x14ac:dyDescent="0.2">
      <c r="D262" s="683"/>
      <c r="F262" s="684"/>
      <c r="G262" s="684"/>
      <c r="H262" s="684"/>
      <c r="I262" s="684"/>
      <c r="J262" s="684"/>
      <c r="K262" s="684"/>
      <c r="L262" s="684"/>
      <c r="M262" s="685"/>
    </row>
    <row r="263" spans="4:13" s="682" customFormat="1" x14ac:dyDescent="0.2">
      <c r="D263" s="683"/>
      <c r="F263" s="684"/>
      <c r="G263" s="684"/>
      <c r="H263" s="684"/>
      <c r="I263" s="684"/>
      <c r="J263" s="684"/>
      <c r="K263" s="684"/>
      <c r="L263" s="684"/>
      <c r="M263" s="685"/>
    </row>
    <row r="264" spans="4:13" s="682" customFormat="1" x14ac:dyDescent="0.2">
      <c r="D264" s="683"/>
      <c r="F264" s="684"/>
      <c r="G264" s="684"/>
      <c r="H264" s="684"/>
      <c r="I264" s="684"/>
      <c r="J264" s="684"/>
      <c r="K264" s="684"/>
      <c r="L264" s="684"/>
      <c r="M264" s="685"/>
    </row>
    <row r="265" spans="4:13" s="682" customFormat="1" x14ac:dyDescent="0.2">
      <c r="D265" s="683"/>
      <c r="F265" s="684"/>
      <c r="G265" s="684"/>
      <c r="H265" s="684"/>
      <c r="I265" s="684"/>
      <c r="J265" s="684"/>
      <c r="K265" s="684"/>
      <c r="L265" s="684"/>
      <c r="M265" s="685"/>
    </row>
    <row r="266" spans="4:13" s="682" customFormat="1" x14ac:dyDescent="0.2">
      <c r="D266" s="683"/>
      <c r="F266" s="684"/>
      <c r="G266" s="684"/>
      <c r="H266" s="684"/>
      <c r="I266" s="684"/>
      <c r="J266" s="684"/>
      <c r="K266" s="684"/>
      <c r="L266" s="684"/>
      <c r="M266" s="685"/>
    </row>
    <row r="267" spans="4:13" s="682" customFormat="1" x14ac:dyDescent="0.2">
      <c r="D267" s="683"/>
      <c r="F267" s="684"/>
      <c r="G267" s="684"/>
      <c r="H267" s="684"/>
      <c r="I267" s="684"/>
      <c r="J267" s="684"/>
      <c r="K267" s="684"/>
      <c r="L267" s="684"/>
      <c r="M267" s="685"/>
    </row>
    <row r="268" spans="4:13" s="682" customFormat="1" x14ac:dyDescent="0.2">
      <c r="D268" s="683"/>
      <c r="F268" s="684"/>
      <c r="G268" s="684"/>
      <c r="H268" s="684"/>
      <c r="I268" s="684"/>
      <c r="J268" s="684"/>
      <c r="K268" s="684"/>
      <c r="L268" s="684"/>
      <c r="M268" s="685"/>
    </row>
    <row r="269" spans="4:13" s="682" customFormat="1" x14ac:dyDescent="0.2">
      <c r="D269" s="683"/>
      <c r="F269" s="684"/>
      <c r="G269" s="684"/>
      <c r="H269" s="684"/>
      <c r="I269" s="684"/>
      <c r="J269" s="684"/>
      <c r="K269" s="684"/>
      <c r="L269" s="684"/>
      <c r="M269" s="685"/>
    </row>
    <row r="270" spans="4:13" s="682" customFormat="1" x14ac:dyDescent="0.2">
      <c r="D270" s="683"/>
      <c r="F270" s="684"/>
      <c r="G270" s="684"/>
      <c r="H270" s="684"/>
      <c r="I270" s="684"/>
      <c r="J270" s="684"/>
      <c r="K270" s="684"/>
      <c r="L270" s="684"/>
      <c r="M270" s="685"/>
    </row>
    <row r="271" spans="4:13" s="682" customFormat="1" x14ac:dyDescent="0.2">
      <c r="D271" s="683"/>
      <c r="F271" s="684"/>
      <c r="G271" s="684"/>
      <c r="H271" s="684"/>
      <c r="I271" s="684"/>
      <c r="J271" s="684"/>
      <c r="K271" s="684"/>
      <c r="L271" s="684"/>
      <c r="M271" s="685"/>
    </row>
    <row r="272" spans="4:13" s="682" customFormat="1" x14ac:dyDescent="0.2">
      <c r="D272" s="683"/>
      <c r="F272" s="684"/>
      <c r="G272" s="684"/>
      <c r="H272" s="684"/>
      <c r="I272" s="684"/>
      <c r="J272" s="684"/>
      <c r="K272" s="684"/>
      <c r="L272" s="684"/>
      <c r="M272" s="685"/>
    </row>
    <row r="273" spans="4:13" s="682" customFormat="1" x14ac:dyDescent="0.2">
      <c r="D273" s="683"/>
      <c r="F273" s="684"/>
      <c r="G273" s="684"/>
      <c r="H273" s="684"/>
      <c r="I273" s="684"/>
      <c r="J273" s="684"/>
      <c r="K273" s="684"/>
      <c r="L273" s="684"/>
      <c r="M273" s="685"/>
    </row>
    <row r="274" spans="4:13" s="682" customFormat="1" x14ac:dyDescent="0.2">
      <c r="D274" s="683"/>
      <c r="F274" s="684"/>
      <c r="G274" s="684"/>
      <c r="H274" s="684"/>
      <c r="I274" s="684"/>
      <c r="J274" s="684"/>
      <c r="K274" s="684"/>
      <c r="L274" s="684"/>
      <c r="M274" s="685"/>
    </row>
    <row r="275" spans="4:13" s="682" customFormat="1" x14ac:dyDescent="0.2">
      <c r="D275" s="683"/>
      <c r="F275" s="684"/>
      <c r="G275" s="684"/>
      <c r="H275" s="684"/>
      <c r="I275" s="684"/>
      <c r="J275" s="684"/>
      <c r="K275" s="684"/>
      <c r="L275" s="684"/>
      <c r="M275" s="685"/>
    </row>
    <row r="276" spans="4:13" s="682" customFormat="1" x14ac:dyDescent="0.2">
      <c r="D276" s="683"/>
      <c r="F276" s="684"/>
      <c r="G276" s="684"/>
      <c r="H276" s="684"/>
      <c r="I276" s="684"/>
      <c r="J276" s="684"/>
      <c r="K276" s="684"/>
      <c r="L276" s="684"/>
      <c r="M276" s="685"/>
    </row>
    <row r="277" spans="4:13" s="682" customFormat="1" x14ac:dyDescent="0.2">
      <c r="D277" s="683"/>
      <c r="F277" s="684"/>
      <c r="G277" s="684"/>
      <c r="H277" s="684"/>
      <c r="I277" s="684"/>
      <c r="J277" s="684"/>
      <c r="K277" s="684"/>
      <c r="L277" s="684"/>
      <c r="M277" s="685"/>
    </row>
    <row r="278" spans="4:13" s="682" customFormat="1" x14ac:dyDescent="0.2">
      <c r="D278" s="683"/>
      <c r="F278" s="684"/>
      <c r="G278" s="684"/>
      <c r="H278" s="684"/>
      <c r="I278" s="684"/>
      <c r="J278" s="684"/>
      <c r="K278" s="684"/>
      <c r="L278" s="684"/>
      <c r="M278" s="685"/>
    </row>
    <row r="279" spans="4:13" s="682" customFormat="1" x14ac:dyDescent="0.2">
      <c r="D279" s="683"/>
      <c r="F279" s="684"/>
      <c r="G279" s="684"/>
      <c r="H279" s="684"/>
      <c r="I279" s="684"/>
      <c r="J279" s="684"/>
      <c r="K279" s="684"/>
      <c r="L279" s="684"/>
      <c r="M279" s="685"/>
    </row>
    <row r="280" spans="4:13" s="682" customFormat="1" x14ac:dyDescent="0.2">
      <c r="D280" s="683"/>
      <c r="F280" s="684"/>
      <c r="G280" s="684"/>
      <c r="H280" s="684"/>
      <c r="I280" s="684"/>
      <c r="J280" s="684"/>
      <c r="K280" s="684"/>
      <c r="L280" s="684"/>
      <c r="M280" s="685"/>
    </row>
    <row r="281" spans="4:13" s="682" customFormat="1" x14ac:dyDescent="0.2">
      <c r="D281" s="683"/>
      <c r="F281" s="684"/>
      <c r="G281" s="684"/>
      <c r="H281" s="684"/>
      <c r="I281" s="684"/>
      <c r="J281" s="684"/>
      <c r="K281" s="684"/>
      <c r="L281" s="684"/>
      <c r="M281" s="685"/>
    </row>
    <row r="282" spans="4:13" s="682" customFormat="1" x14ac:dyDescent="0.2">
      <c r="D282" s="683"/>
      <c r="F282" s="684"/>
      <c r="G282" s="684"/>
      <c r="H282" s="684"/>
      <c r="I282" s="684"/>
      <c r="J282" s="684"/>
      <c r="K282" s="684"/>
      <c r="L282" s="684"/>
      <c r="M282" s="685"/>
    </row>
    <row r="283" spans="4:13" s="682" customFormat="1" x14ac:dyDescent="0.2">
      <c r="D283" s="683"/>
      <c r="F283" s="684"/>
      <c r="G283" s="684"/>
      <c r="H283" s="684"/>
      <c r="I283" s="684"/>
      <c r="J283" s="684"/>
      <c r="K283" s="684"/>
      <c r="L283" s="684"/>
      <c r="M283" s="685"/>
    </row>
    <row r="284" spans="4:13" s="682" customFormat="1" x14ac:dyDescent="0.2">
      <c r="D284" s="683"/>
      <c r="F284" s="684"/>
      <c r="G284" s="684"/>
      <c r="H284" s="684"/>
      <c r="I284" s="684"/>
      <c r="J284" s="684"/>
      <c r="K284" s="684"/>
      <c r="L284" s="684"/>
      <c r="M284" s="685"/>
    </row>
    <row r="285" spans="4:13" s="682" customFormat="1" x14ac:dyDescent="0.2">
      <c r="D285" s="683"/>
      <c r="F285" s="684"/>
      <c r="G285" s="684"/>
      <c r="H285" s="684"/>
      <c r="I285" s="684"/>
      <c r="J285" s="684"/>
      <c r="K285" s="684"/>
      <c r="L285" s="684"/>
      <c r="M285" s="685"/>
    </row>
    <row r="286" spans="4:13" s="682" customFormat="1" x14ac:dyDescent="0.2">
      <c r="D286" s="683"/>
      <c r="F286" s="684"/>
      <c r="G286" s="684"/>
      <c r="H286" s="684"/>
      <c r="I286" s="684"/>
      <c r="J286" s="684"/>
      <c r="K286" s="684"/>
      <c r="L286" s="684"/>
      <c r="M286" s="685"/>
    </row>
    <row r="287" spans="4:13" s="682" customFormat="1" x14ac:dyDescent="0.2">
      <c r="D287" s="683"/>
      <c r="F287" s="684"/>
      <c r="G287" s="684"/>
      <c r="H287" s="684"/>
      <c r="I287" s="684"/>
      <c r="J287" s="684"/>
      <c r="K287" s="684"/>
      <c r="L287" s="684"/>
      <c r="M287" s="685"/>
    </row>
    <row r="288" spans="4:13" s="682" customFormat="1" x14ac:dyDescent="0.2">
      <c r="D288" s="683"/>
      <c r="F288" s="684"/>
      <c r="G288" s="684"/>
      <c r="H288" s="684"/>
      <c r="I288" s="684"/>
      <c r="J288" s="684"/>
      <c r="K288" s="684"/>
      <c r="L288" s="684"/>
      <c r="M288" s="685"/>
    </row>
    <row r="289" spans="4:13" s="682" customFormat="1" x14ac:dyDescent="0.2">
      <c r="D289" s="683"/>
      <c r="F289" s="684"/>
      <c r="G289" s="684"/>
      <c r="H289" s="684"/>
      <c r="I289" s="684"/>
      <c r="J289" s="684"/>
      <c r="K289" s="684"/>
      <c r="L289" s="684"/>
      <c r="M289" s="685"/>
    </row>
    <row r="290" spans="4:13" s="682" customFormat="1" x14ac:dyDescent="0.2">
      <c r="D290" s="683"/>
      <c r="F290" s="684"/>
      <c r="G290" s="684"/>
      <c r="H290" s="684"/>
      <c r="I290" s="684"/>
      <c r="J290" s="684"/>
      <c r="K290" s="684"/>
      <c r="L290" s="684"/>
      <c r="M290" s="685"/>
    </row>
    <row r="291" spans="4:13" s="682" customFormat="1" x14ac:dyDescent="0.2">
      <c r="D291" s="683"/>
      <c r="F291" s="684"/>
      <c r="G291" s="684"/>
      <c r="H291" s="684"/>
      <c r="I291" s="684"/>
      <c r="J291" s="684"/>
      <c r="K291" s="684"/>
      <c r="L291" s="684"/>
      <c r="M291" s="685"/>
    </row>
    <row r="292" spans="4:13" s="682" customFormat="1" x14ac:dyDescent="0.2">
      <c r="D292" s="683"/>
      <c r="F292" s="684"/>
      <c r="G292" s="684"/>
      <c r="H292" s="684"/>
      <c r="I292" s="684"/>
      <c r="J292" s="684"/>
      <c r="K292" s="684"/>
      <c r="L292" s="684"/>
      <c r="M292" s="685"/>
    </row>
    <row r="293" spans="4:13" s="682" customFormat="1" x14ac:dyDescent="0.2">
      <c r="D293" s="683"/>
      <c r="F293" s="684"/>
      <c r="G293" s="684"/>
      <c r="H293" s="684"/>
      <c r="I293" s="684"/>
      <c r="J293" s="684"/>
      <c r="K293" s="684"/>
      <c r="L293" s="684"/>
      <c r="M293" s="685"/>
    </row>
    <row r="294" spans="4:13" s="682" customFormat="1" x14ac:dyDescent="0.2">
      <c r="D294" s="683"/>
      <c r="F294" s="684"/>
      <c r="G294" s="684"/>
      <c r="H294" s="684"/>
      <c r="I294" s="684"/>
      <c r="J294" s="684"/>
      <c r="K294" s="684"/>
      <c r="L294" s="684"/>
      <c r="M294" s="685"/>
    </row>
    <row r="295" spans="4:13" s="682" customFormat="1" x14ac:dyDescent="0.2">
      <c r="D295" s="683"/>
      <c r="F295" s="684"/>
      <c r="G295" s="684"/>
      <c r="H295" s="684"/>
      <c r="I295" s="684"/>
      <c r="J295" s="684"/>
      <c r="K295" s="684"/>
      <c r="L295" s="684"/>
      <c r="M295" s="685"/>
    </row>
    <row r="296" spans="4:13" s="682" customFormat="1" x14ac:dyDescent="0.2">
      <c r="D296" s="683"/>
      <c r="F296" s="684"/>
      <c r="G296" s="684"/>
      <c r="H296" s="684"/>
      <c r="I296" s="684"/>
      <c r="J296" s="684"/>
      <c r="K296" s="684"/>
      <c r="L296" s="684"/>
      <c r="M296" s="685"/>
    </row>
    <row r="297" spans="4:13" s="682" customFormat="1" x14ac:dyDescent="0.2">
      <c r="D297" s="683"/>
      <c r="F297" s="684"/>
      <c r="G297" s="684"/>
      <c r="H297" s="684"/>
      <c r="I297" s="684"/>
      <c r="J297" s="684"/>
      <c r="K297" s="684"/>
      <c r="L297" s="684"/>
      <c r="M297" s="685"/>
    </row>
    <row r="298" spans="4:13" s="682" customFormat="1" x14ac:dyDescent="0.2">
      <c r="D298" s="683"/>
      <c r="F298" s="684"/>
      <c r="G298" s="684"/>
      <c r="H298" s="684"/>
      <c r="I298" s="684"/>
      <c r="J298" s="684"/>
      <c r="K298" s="684"/>
      <c r="L298" s="684"/>
      <c r="M298" s="685"/>
    </row>
    <row r="299" spans="4:13" s="682" customFormat="1" x14ac:dyDescent="0.2">
      <c r="D299" s="683"/>
      <c r="F299" s="684"/>
      <c r="G299" s="684"/>
      <c r="H299" s="684"/>
      <c r="I299" s="684"/>
      <c r="J299" s="684"/>
      <c r="K299" s="684"/>
      <c r="L299" s="684"/>
      <c r="M299" s="685"/>
    </row>
    <row r="300" spans="4:13" s="682" customFormat="1" x14ac:dyDescent="0.2">
      <c r="D300" s="683"/>
      <c r="F300" s="684"/>
      <c r="G300" s="684"/>
      <c r="H300" s="684"/>
      <c r="I300" s="684"/>
      <c r="J300" s="684"/>
      <c r="K300" s="684"/>
      <c r="L300" s="684"/>
      <c r="M300" s="685"/>
    </row>
    <row r="301" spans="4:13" s="682" customFormat="1" x14ac:dyDescent="0.2">
      <c r="D301" s="683"/>
      <c r="F301" s="684"/>
      <c r="G301" s="684"/>
      <c r="H301" s="684"/>
      <c r="I301" s="684"/>
      <c r="J301" s="684"/>
      <c r="K301" s="684"/>
      <c r="L301" s="684"/>
      <c r="M301" s="685"/>
    </row>
    <row r="302" spans="4:13" s="682" customFormat="1" x14ac:dyDescent="0.2">
      <c r="D302" s="683"/>
      <c r="F302" s="684"/>
      <c r="G302" s="684"/>
      <c r="H302" s="684"/>
      <c r="I302" s="684"/>
      <c r="J302" s="684"/>
      <c r="K302" s="684"/>
      <c r="L302" s="684"/>
      <c r="M302" s="685"/>
    </row>
    <row r="303" spans="4:13" s="682" customFormat="1" x14ac:dyDescent="0.2">
      <c r="D303" s="683"/>
      <c r="F303" s="684"/>
      <c r="G303" s="684"/>
      <c r="H303" s="684"/>
      <c r="I303" s="684"/>
      <c r="J303" s="684"/>
      <c r="K303" s="684"/>
      <c r="L303" s="684"/>
      <c r="M303" s="685"/>
    </row>
    <row r="304" spans="4:13" s="682" customFormat="1" x14ac:dyDescent="0.2">
      <c r="D304" s="683"/>
      <c r="F304" s="684"/>
      <c r="G304" s="684"/>
      <c r="H304" s="684"/>
      <c r="I304" s="684"/>
      <c r="J304" s="684"/>
      <c r="K304" s="684"/>
      <c r="L304" s="684"/>
      <c r="M304" s="685"/>
    </row>
    <row r="305" spans="4:13" s="682" customFormat="1" x14ac:dyDescent="0.2">
      <c r="D305" s="683"/>
      <c r="F305" s="684"/>
      <c r="G305" s="684"/>
      <c r="H305" s="684"/>
      <c r="I305" s="684"/>
      <c r="J305" s="684"/>
      <c r="K305" s="684"/>
      <c r="L305" s="684"/>
      <c r="M305" s="685"/>
    </row>
    <row r="306" spans="4:13" s="682" customFormat="1" x14ac:dyDescent="0.2">
      <c r="D306" s="683"/>
      <c r="F306" s="684"/>
      <c r="G306" s="684"/>
      <c r="H306" s="684"/>
      <c r="I306" s="684"/>
      <c r="J306" s="684"/>
      <c r="K306" s="684"/>
      <c r="L306" s="684"/>
      <c r="M306" s="685"/>
    </row>
    <row r="307" spans="4:13" s="682" customFormat="1" x14ac:dyDescent="0.2">
      <c r="D307" s="683"/>
      <c r="F307" s="684"/>
      <c r="G307" s="684"/>
      <c r="H307" s="684"/>
      <c r="I307" s="684"/>
      <c r="J307" s="684"/>
      <c r="K307" s="684"/>
      <c r="L307" s="684"/>
      <c r="M307" s="685"/>
    </row>
    <row r="308" spans="4:13" s="682" customFormat="1" x14ac:dyDescent="0.2">
      <c r="D308" s="683"/>
      <c r="F308" s="684"/>
      <c r="G308" s="684"/>
      <c r="H308" s="684"/>
      <c r="I308" s="684"/>
      <c r="J308" s="684"/>
      <c r="K308" s="684"/>
      <c r="L308" s="684"/>
      <c r="M308" s="685"/>
    </row>
    <row r="309" spans="4:13" s="682" customFormat="1" x14ac:dyDescent="0.2">
      <c r="D309" s="683"/>
      <c r="F309" s="684"/>
      <c r="G309" s="684"/>
      <c r="H309" s="684"/>
      <c r="I309" s="684"/>
      <c r="J309" s="684"/>
      <c r="K309" s="684"/>
      <c r="L309" s="684"/>
      <c r="M309" s="685"/>
    </row>
    <row r="310" spans="4:13" s="682" customFormat="1" x14ac:dyDescent="0.2">
      <c r="D310" s="683"/>
      <c r="F310" s="684"/>
      <c r="G310" s="684"/>
      <c r="H310" s="684"/>
      <c r="I310" s="684"/>
      <c r="J310" s="684"/>
      <c r="K310" s="684"/>
      <c r="L310" s="684"/>
      <c r="M310" s="685"/>
    </row>
    <row r="311" spans="4:13" s="682" customFormat="1" x14ac:dyDescent="0.2">
      <c r="D311" s="683"/>
      <c r="F311" s="684"/>
      <c r="G311" s="684"/>
      <c r="H311" s="684"/>
      <c r="I311" s="684"/>
      <c r="J311" s="684"/>
      <c r="K311" s="684"/>
      <c r="L311" s="684"/>
      <c r="M311" s="685"/>
    </row>
    <row r="312" spans="4:13" s="682" customFormat="1" x14ac:dyDescent="0.2">
      <c r="D312" s="683"/>
      <c r="F312" s="684"/>
      <c r="G312" s="684"/>
      <c r="H312" s="684"/>
      <c r="I312" s="684"/>
      <c r="J312" s="684"/>
      <c r="K312" s="684"/>
      <c r="L312" s="684"/>
      <c r="M312" s="685"/>
    </row>
    <row r="313" spans="4:13" s="682" customFormat="1" x14ac:dyDescent="0.2">
      <c r="D313" s="683"/>
      <c r="F313" s="684"/>
      <c r="G313" s="684"/>
      <c r="H313" s="684"/>
      <c r="I313" s="684"/>
      <c r="J313" s="684"/>
      <c r="K313" s="684"/>
      <c r="L313" s="684"/>
      <c r="M313" s="685"/>
    </row>
    <row r="314" spans="4:13" s="682" customFormat="1" x14ac:dyDescent="0.2">
      <c r="D314" s="683"/>
      <c r="F314" s="684"/>
      <c r="G314" s="684"/>
      <c r="H314" s="684"/>
      <c r="I314" s="684"/>
      <c r="J314" s="684"/>
      <c r="K314" s="684"/>
      <c r="L314" s="684"/>
      <c r="M314" s="685"/>
    </row>
    <row r="315" spans="4:13" s="682" customFormat="1" x14ac:dyDescent="0.2">
      <c r="D315" s="683"/>
      <c r="F315" s="684"/>
      <c r="G315" s="684"/>
      <c r="H315" s="684"/>
      <c r="I315" s="684"/>
      <c r="J315" s="684"/>
      <c r="K315" s="684"/>
      <c r="L315" s="684"/>
      <c r="M315" s="685"/>
    </row>
    <row r="316" spans="4:13" s="682" customFormat="1" x14ac:dyDescent="0.2">
      <c r="D316" s="683"/>
      <c r="F316" s="684"/>
      <c r="G316" s="684"/>
      <c r="H316" s="684"/>
      <c r="I316" s="684"/>
      <c r="J316" s="684"/>
      <c r="K316" s="684"/>
      <c r="L316" s="684"/>
      <c r="M316" s="685"/>
    </row>
    <row r="317" spans="4:13" s="682" customFormat="1" x14ac:dyDescent="0.2">
      <c r="D317" s="683"/>
      <c r="F317" s="684"/>
      <c r="G317" s="684"/>
      <c r="H317" s="684"/>
      <c r="I317" s="684"/>
      <c r="J317" s="684"/>
      <c r="K317" s="684"/>
      <c r="L317" s="684"/>
      <c r="M317" s="685"/>
    </row>
    <row r="318" spans="4:13" s="682" customFormat="1" x14ac:dyDescent="0.2">
      <c r="D318" s="683"/>
      <c r="F318" s="684"/>
      <c r="G318" s="684"/>
      <c r="H318" s="684"/>
      <c r="I318" s="684"/>
      <c r="J318" s="684"/>
      <c r="K318" s="684"/>
      <c r="L318" s="684"/>
      <c r="M318" s="685"/>
    </row>
    <row r="319" spans="4:13" s="682" customFormat="1" x14ac:dyDescent="0.2">
      <c r="D319" s="683"/>
      <c r="F319" s="684"/>
      <c r="G319" s="684"/>
      <c r="H319" s="684"/>
      <c r="I319" s="684"/>
      <c r="J319" s="684"/>
      <c r="K319" s="684"/>
      <c r="L319" s="684"/>
      <c r="M319" s="685"/>
    </row>
    <row r="320" spans="4:13" s="682" customFormat="1" x14ac:dyDescent="0.2">
      <c r="D320" s="683"/>
      <c r="F320" s="684"/>
      <c r="G320" s="684"/>
      <c r="H320" s="684"/>
      <c r="I320" s="684"/>
      <c r="J320" s="684"/>
      <c r="K320" s="684"/>
      <c r="L320" s="684"/>
      <c r="M320" s="685"/>
    </row>
    <row r="321" spans="4:13" s="682" customFormat="1" x14ac:dyDescent="0.2">
      <c r="D321" s="683"/>
      <c r="F321" s="684"/>
      <c r="G321" s="684"/>
      <c r="H321" s="684"/>
      <c r="I321" s="684"/>
      <c r="J321" s="684"/>
      <c r="K321" s="684"/>
      <c r="L321" s="684"/>
      <c r="M321" s="685"/>
    </row>
    <row r="322" spans="4:13" s="682" customFormat="1" x14ac:dyDescent="0.2">
      <c r="D322" s="683"/>
      <c r="F322" s="684"/>
      <c r="G322" s="684"/>
      <c r="H322" s="684"/>
      <c r="I322" s="684"/>
      <c r="J322" s="684"/>
      <c r="K322" s="684"/>
      <c r="L322" s="684"/>
      <c r="M322" s="685"/>
    </row>
    <row r="323" spans="4:13" s="682" customFormat="1" x14ac:dyDescent="0.2">
      <c r="D323" s="683"/>
      <c r="F323" s="684"/>
      <c r="G323" s="684"/>
      <c r="H323" s="684"/>
      <c r="I323" s="684"/>
      <c r="J323" s="684"/>
      <c r="K323" s="684"/>
      <c r="L323" s="684"/>
      <c r="M323" s="685"/>
    </row>
    <row r="324" spans="4:13" s="682" customFormat="1" x14ac:dyDescent="0.2">
      <c r="D324" s="683"/>
      <c r="F324" s="684"/>
      <c r="G324" s="684"/>
      <c r="H324" s="684"/>
      <c r="I324" s="684"/>
      <c r="J324" s="684"/>
      <c r="K324" s="684"/>
      <c r="L324" s="684"/>
      <c r="M324" s="685"/>
    </row>
    <row r="325" spans="4:13" s="682" customFormat="1" x14ac:dyDescent="0.2">
      <c r="D325" s="683"/>
      <c r="F325" s="684"/>
      <c r="G325" s="684"/>
      <c r="H325" s="684"/>
      <c r="I325" s="684"/>
      <c r="J325" s="684"/>
      <c r="K325" s="684"/>
      <c r="L325" s="684"/>
      <c r="M325" s="685"/>
    </row>
    <row r="326" spans="4:13" s="682" customFormat="1" x14ac:dyDescent="0.2">
      <c r="D326" s="683"/>
      <c r="F326" s="684"/>
      <c r="G326" s="684"/>
      <c r="H326" s="684"/>
      <c r="I326" s="684"/>
      <c r="J326" s="684"/>
      <c r="K326" s="684"/>
      <c r="L326" s="684"/>
      <c r="M326" s="685"/>
    </row>
    <row r="327" spans="4:13" s="682" customFormat="1" x14ac:dyDescent="0.2">
      <c r="D327" s="683"/>
      <c r="F327" s="684"/>
      <c r="G327" s="684"/>
      <c r="H327" s="684"/>
      <c r="I327" s="684"/>
      <c r="J327" s="684"/>
      <c r="K327" s="684"/>
      <c r="L327" s="684"/>
      <c r="M327" s="685"/>
    </row>
    <row r="328" spans="4:13" s="682" customFormat="1" x14ac:dyDescent="0.2">
      <c r="D328" s="683"/>
      <c r="F328" s="684"/>
      <c r="G328" s="684"/>
      <c r="H328" s="684"/>
      <c r="I328" s="684"/>
      <c r="J328" s="684"/>
      <c r="K328" s="684"/>
      <c r="L328" s="684"/>
      <c r="M328" s="685"/>
    </row>
    <row r="329" spans="4:13" s="682" customFormat="1" x14ac:dyDescent="0.2">
      <c r="D329" s="683"/>
      <c r="F329" s="684"/>
      <c r="G329" s="684"/>
      <c r="H329" s="684"/>
      <c r="I329" s="684"/>
      <c r="J329" s="684"/>
      <c r="K329" s="684"/>
      <c r="L329" s="684"/>
      <c r="M329" s="685"/>
    </row>
    <row r="330" spans="4:13" s="682" customFormat="1" x14ac:dyDescent="0.2">
      <c r="D330" s="683"/>
      <c r="F330" s="684"/>
      <c r="G330" s="684"/>
      <c r="H330" s="684"/>
      <c r="I330" s="684"/>
      <c r="J330" s="684"/>
      <c r="K330" s="684"/>
      <c r="L330" s="684"/>
      <c r="M330" s="685"/>
    </row>
    <row r="331" spans="4:13" s="682" customFormat="1" x14ac:dyDescent="0.2">
      <c r="D331" s="683"/>
      <c r="F331" s="684"/>
      <c r="G331" s="684"/>
      <c r="H331" s="684"/>
      <c r="I331" s="684"/>
      <c r="J331" s="684"/>
      <c r="K331" s="684"/>
      <c r="L331" s="684"/>
      <c r="M331" s="685"/>
    </row>
    <row r="332" spans="4:13" s="682" customFormat="1" x14ac:dyDescent="0.2">
      <c r="D332" s="683"/>
      <c r="F332" s="684"/>
      <c r="G332" s="684"/>
      <c r="H332" s="684"/>
      <c r="I332" s="684"/>
      <c r="J332" s="684"/>
      <c r="K332" s="684"/>
      <c r="L332" s="684"/>
      <c r="M332" s="685"/>
    </row>
    <row r="333" spans="4:13" s="682" customFormat="1" x14ac:dyDescent="0.2">
      <c r="D333" s="683"/>
      <c r="F333" s="684"/>
      <c r="G333" s="684"/>
      <c r="H333" s="684"/>
      <c r="I333" s="684"/>
      <c r="J333" s="684"/>
      <c r="K333" s="684"/>
      <c r="L333" s="684"/>
      <c r="M333" s="685"/>
    </row>
    <row r="334" spans="4:13" s="682" customFormat="1" x14ac:dyDescent="0.2">
      <c r="D334" s="683"/>
      <c r="F334" s="684"/>
      <c r="G334" s="684"/>
      <c r="H334" s="684"/>
      <c r="I334" s="684"/>
      <c r="J334" s="684"/>
      <c r="K334" s="684"/>
      <c r="L334" s="684"/>
      <c r="M334" s="685"/>
    </row>
    <row r="335" spans="4:13" s="682" customFormat="1" x14ac:dyDescent="0.2">
      <c r="D335" s="683"/>
      <c r="F335" s="684"/>
      <c r="G335" s="684"/>
      <c r="H335" s="684"/>
      <c r="I335" s="684"/>
      <c r="J335" s="684"/>
      <c r="K335" s="684"/>
      <c r="L335" s="684"/>
      <c r="M335" s="685"/>
    </row>
    <row r="336" spans="4:13" s="682" customFormat="1" x14ac:dyDescent="0.2">
      <c r="D336" s="683"/>
      <c r="F336" s="684"/>
      <c r="G336" s="684"/>
      <c r="H336" s="684"/>
      <c r="I336" s="684"/>
      <c r="J336" s="684"/>
      <c r="K336" s="684"/>
      <c r="L336" s="684"/>
      <c r="M336" s="685"/>
    </row>
    <row r="337" spans="4:13" s="682" customFormat="1" x14ac:dyDescent="0.2">
      <c r="D337" s="683"/>
      <c r="F337" s="684"/>
      <c r="G337" s="684"/>
      <c r="H337" s="684"/>
      <c r="I337" s="684"/>
      <c r="J337" s="684"/>
      <c r="K337" s="684"/>
      <c r="L337" s="684"/>
      <c r="M337" s="685"/>
    </row>
    <row r="338" spans="4:13" s="682" customFormat="1" x14ac:dyDescent="0.2">
      <c r="D338" s="683"/>
      <c r="F338" s="684"/>
      <c r="G338" s="684"/>
      <c r="H338" s="684"/>
      <c r="I338" s="684"/>
      <c r="J338" s="684"/>
      <c r="K338" s="684"/>
      <c r="L338" s="684"/>
      <c r="M338" s="685"/>
    </row>
    <row r="339" spans="4:13" s="682" customFormat="1" x14ac:dyDescent="0.2">
      <c r="D339" s="683"/>
      <c r="F339" s="684"/>
      <c r="G339" s="684"/>
      <c r="H339" s="684"/>
      <c r="I339" s="684"/>
      <c r="J339" s="684"/>
      <c r="K339" s="684"/>
      <c r="L339" s="684"/>
      <c r="M339" s="685"/>
    </row>
    <row r="340" spans="4:13" s="682" customFormat="1" x14ac:dyDescent="0.2">
      <c r="D340" s="683"/>
      <c r="F340" s="684"/>
      <c r="G340" s="684"/>
      <c r="H340" s="684"/>
      <c r="I340" s="684"/>
      <c r="J340" s="684"/>
      <c r="K340" s="684"/>
      <c r="L340" s="684"/>
      <c r="M340" s="685"/>
    </row>
    <row r="341" spans="4:13" s="682" customFormat="1" x14ac:dyDescent="0.2">
      <c r="D341" s="683"/>
      <c r="F341" s="684"/>
      <c r="G341" s="684"/>
      <c r="H341" s="684"/>
      <c r="I341" s="684"/>
      <c r="J341" s="684"/>
      <c r="K341" s="684"/>
      <c r="L341" s="684"/>
      <c r="M341" s="685"/>
    </row>
    <row r="342" spans="4:13" s="682" customFormat="1" x14ac:dyDescent="0.2">
      <c r="D342" s="683"/>
      <c r="F342" s="684"/>
      <c r="G342" s="684"/>
      <c r="H342" s="684"/>
      <c r="I342" s="684"/>
      <c r="J342" s="684"/>
      <c r="K342" s="684"/>
      <c r="L342" s="684"/>
      <c r="M342" s="685"/>
    </row>
    <row r="343" spans="4:13" s="682" customFormat="1" x14ac:dyDescent="0.2">
      <c r="D343" s="683"/>
      <c r="F343" s="684"/>
      <c r="G343" s="684"/>
      <c r="H343" s="684"/>
      <c r="I343" s="684"/>
      <c r="J343" s="684"/>
      <c r="K343" s="684"/>
      <c r="L343" s="684"/>
      <c r="M343" s="685"/>
    </row>
    <row r="344" spans="4:13" s="682" customFormat="1" x14ac:dyDescent="0.2">
      <c r="D344" s="683"/>
      <c r="F344" s="684"/>
      <c r="G344" s="684"/>
      <c r="H344" s="684"/>
      <c r="I344" s="684"/>
      <c r="J344" s="684"/>
      <c r="K344" s="684"/>
      <c r="L344" s="684"/>
      <c r="M344" s="685"/>
    </row>
    <row r="345" spans="4:13" s="682" customFormat="1" x14ac:dyDescent="0.2">
      <c r="D345" s="683"/>
      <c r="F345" s="684"/>
      <c r="G345" s="684"/>
      <c r="H345" s="684"/>
      <c r="I345" s="684"/>
      <c r="J345" s="684"/>
      <c r="K345" s="684"/>
      <c r="L345" s="684"/>
      <c r="M345" s="685"/>
    </row>
    <row r="346" spans="4:13" s="682" customFormat="1" x14ac:dyDescent="0.2">
      <c r="D346" s="683"/>
      <c r="F346" s="684"/>
      <c r="G346" s="684"/>
      <c r="H346" s="684"/>
      <c r="I346" s="684"/>
      <c r="J346" s="684"/>
      <c r="K346" s="684"/>
      <c r="L346" s="684"/>
      <c r="M346" s="685"/>
    </row>
    <row r="347" spans="4:13" s="682" customFormat="1" x14ac:dyDescent="0.2">
      <c r="D347" s="683"/>
      <c r="F347" s="684"/>
      <c r="G347" s="684"/>
      <c r="H347" s="684"/>
      <c r="I347" s="684"/>
      <c r="J347" s="684"/>
      <c r="K347" s="684"/>
      <c r="L347" s="684"/>
      <c r="M347" s="685"/>
    </row>
    <row r="348" spans="4:13" s="682" customFormat="1" x14ac:dyDescent="0.2">
      <c r="D348" s="683"/>
      <c r="F348" s="684"/>
      <c r="G348" s="684"/>
      <c r="H348" s="684"/>
      <c r="I348" s="684"/>
      <c r="J348" s="684"/>
      <c r="K348" s="684"/>
      <c r="L348" s="684"/>
      <c r="M348" s="685"/>
    </row>
    <row r="349" spans="4:13" s="682" customFormat="1" x14ac:dyDescent="0.2">
      <c r="D349" s="683"/>
      <c r="F349" s="684"/>
      <c r="G349" s="684"/>
      <c r="H349" s="684"/>
      <c r="I349" s="684"/>
      <c r="J349" s="684"/>
      <c r="K349" s="684"/>
      <c r="L349" s="684"/>
      <c r="M349" s="685"/>
    </row>
    <row r="350" spans="4:13" s="682" customFormat="1" x14ac:dyDescent="0.2">
      <c r="D350" s="683"/>
      <c r="F350" s="684"/>
      <c r="G350" s="684"/>
      <c r="H350" s="684"/>
      <c r="I350" s="684"/>
      <c r="J350" s="684"/>
      <c r="K350" s="684"/>
      <c r="L350" s="684"/>
      <c r="M350" s="685"/>
    </row>
    <row r="351" spans="4:13" s="682" customFormat="1" x14ac:dyDescent="0.2">
      <c r="D351" s="683"/>
      <c r="F351" s="684"/>
      <c r="G351" s="684"/>
      <c r="H351" s="684"/>
      <c r="I351" s="684"/>
      <c r="J351" s="684"/>
      <c r="K351" s="684"/>
      <c r="L351" s="684"/>
      <c r="M351" s="685"/>
    </row>
    <row r="352" spans="4:13" s="682" customFormat="1" x14ac:dyDescent="0.2">
      <c r="D352" s="683"/>
      <c r="F352" s="684"/>
      <c r="G352" s="684"/>
      <c r="H352" s="684"/>
      <c r="I352" s="684"/>
      <c r="J352" s="684"/>
      <c r="K352" s="684"/>
      <c r="L352" s="684"/>
      <c r="M352" s="685"/>
    </row>
    <row r="353" spans="4:13" s="682" customFormat="1" x14ac:dyDescent="0.2">
      <c r="D353" s="683"/>
      <c r="F353" s="684"/>
      <c r="G353" s="684"/>
      <c r="H353" s="684"/>
      <c r="I353" s="684"/>
      <c r="J353" s="684"/>
      <c r="K353" s="684"/>
      <c r="L353" s="684"/>
      <c r="M353" s="685"/>
    </row>
    <row r="354" spans="4:13" s="682" customFormat="1" x14ac:dyDescent="0.2">
      <c r="D354" s="683"/>
      <c r="F354" s="684"/>
      <c r="G354" s="684"/>
      <c r="H354" s="684"/>
      <c r="I354" s="684"/>
      <c r="J354" s="684"/>
      <c r="K354" s="684"/>
      <c r="L354" s="684"/>
      <c r="M354" s="685"/>
    </row>
    <row r="355" spans="4:13" s="682" customFormat="1" x14ac:dyDescent="0.2">
      <c r="D355" s="683"/>
      <c r="F355" s="684"/>
      <c r="G355" s="684"/>
      <c r="H355" s="684"/>
      <c r="I355" s="684"/>
      <c r="J355" s="684"/>
      <c r="K355" s="684"/>
      <c r="L355" s="684"/>
      <c r="M355" s="685"/>
    </row>
    <row r="356" spans="4:13" s="682" customFormat="1" x14ac:dyDescent="0.2">
      <c r="D356" s="683"/>
      <c r="F356" s="684"/>
      <c r="G356" s="684"/>
      <c r="H356" s="684"/>
      <c r="I356" s="684"/>
      <c r="J356" s="684"/>
      <c r="K356" s="684"/>
      <c r="L356" s="684"/>
      <c r="M356" s="685"/>
    </row>
    <row r="357" spans="4:13" s="682" customFormat="1" x14ac:dyDescent="0.2">
      <c r="D357" s="683"/>
      <c r="F357" s="684"/>
      <c r="G357" s="684"/>
      <c r="H357" s="684"/>
      <c r="I357" s="684"/>
      <c r="J357" s="684"/>
      <c r="K357" s="684"/>
      <c r="L357" s="684"/>
      <c r="M357" s="685"/>
    </row>
    <row r="358" spans="4:13" s="682" customFormat="1" x14ac:dyDescent="0.2">
      <c r="D358" s="683"/>
      <c r="F358" s="684"/>
      <c r="G358" s="684"/>
      <c r="H358" s="684"/>
      <c r="I358" s="684"/>
      <c r="J358" s="684"/>
      <c r="K358" s="684"/>
      <c r="L358" s="684"/>
      <c r="M358" s="685"/>
    </row>
    <row r="359" spans="4:13" s="682" customFormat="1" x14ac:dyDescent="0.2">
      <c r="D359" s="683"/>
      <c r="F359" s="684"/>
      <c r="G359" s="684"/>
      <c r="H359" s="684"/>
      <c r="I359" s="684"/>
      <c r="J359" s="684"/>
      <c r="K359" s="684"/>
      <c r="L359" s="684"/>
      <c r="M359" s="685"/>
    </row>
    <row r="360" spans="4:13" s="682" customFormat="1" x14ac:dyDescent="0.2">
      <c r="D360" s="683"/>
      <c r="F360" s="684"/>
      <c r="G360" s="684"/>
      <c r="H360" s="684"/>
      <c r="I360" s="684"/>
      <c r="J360" s="684"/>
      <c r="K360" s="684"/>
      <c r="L360" s="684"/>
      <c r="M360" s="685"/>
    </row>
    <row r="361" spans="4:13" s="682" customFormat="1" x14ac:dyDescent="0.2">
      <c r="D361" s="683"/>
      <c r="F361" s="684"/>
      <c r="G361" s="684"/>
      <c r="H361" s="684"/>
      <c r="I361" s="684"/>
      <c r="J361" s="684"/>
      <c r="K361" s="684"/>
      <c r="L361" s="684"/>
      <c r="M361" s="685"/>
    </row>
    <row r="362" spans="4:13" s="682" customFormat="1" x14ac:dyDescent="0.2">
      <c r="D362" s="683"/>
      <c r="F362" s="684"/>
      <c r="G362" s="684"/>
      <c r="H362" s="684"/>
      <c r="I362" s="684"/>
      <c r="J362" s="684"/>
      <c r="K362" s="684"/>
      <c r="L362" s="684"/>
      <c r="M362" s="685"/>
    </row>
    <row r="363" spans="4:13" s="682" customFormat="1" x14ac:dyDescent="0.2">
      <c r="D363" s="683"/>
      <c r="F363" s="684"/>
      <c r="G363" s="684"/>
      <c r="H363" s="684"/>
      <c r="I363" s="684"/>
      <c r="J363" s="684"/>
      <c r="K363" s="684"/>
      <c r="L363" s="684"/>
      <c r="M363" s="685"/>
    </row>
    <row r="364" spans="4:13" s="682" customFormat="1" x14ac:dyDescent="0.2">
      <c r="D364" s="683"/>
      <c r="F364" s="684"/>
      <c r="G364" s="684"/>
      <c r="H364" s="684"/>
      <c r="I364" s="684"/>
      <c r="J364" s="684"/>
      <c r="K364" s="684"/>
      <c r="L364" s="684"/>
      <c r="M364" s="685"/>
    </row>
    <row r="365" spans="4:13" s="682" customFormat="1" x14ac:dyDescent="0.2">
      <c r="D365" s="683"/>
      <c r="F365" s="684"/>
      <c r="G365" s="684"/>
      <c r="H365" s="684"/>
      <c r="I365" s="684"/>
      <c r="J365" s="684"/>
      <c r="K365" s="684"/>
      <c r="L365" s="684"/>
      <c r="M365" s="685"/>
    </row>
    <row r="366" spans="4:13" s="682" customFormat="1" x14ac:dyDescent="0.2">
      <c r="D366" s="683"/>
      <c r="F366" s="684"/>
      <c r="G366" s="684"/>
      <c r="H366" s="684"/>
      <c r="I366" s="684"/>
      <c r="J366" s="684"/>
      <c r="K366" s="684"/>
      <c r="L366" s="684"/>
      <c r="M366" s="685"/>
    </row>
    <row r="367" spans="4:13" s="682" customFormat="1" x14ac:dyDescent="0.2">
      <c r="D367" s="683"/>
      <c r="F367" s="684"/>
      <c r="G367" s="684"/>
      <c r="H367" s="684"/>
      <c r="I367" s="684"/>
      <c r="J367" s="684"/>
      <c r="K367" s="684"/>
      <c r="L367" s="684"/>
      <c r="M367" s="685"/>
    </row>
    <row r="368" spans="4:13" s="682" customFormat="1" x14ac:dyDescent="0.2">
      <c r="D368" s="683"/>
      <c r="F368" s="684"/>
      <c r="G368" s="684"/>
      <c r="H368" s="684"/>
      <c r="I368" s="684"/>
      <c r="J368" s="684"/>
      <c r="K368" s="684"/>
      <c r="L368" s="684"/>
      <c r="M368" s="685"/>
    </row>
    <row r="369" spans="4:13" s="682" customFormat="1" x14ac:dyDescent="0.2">
      <c r="D369" s="683"/>
      <c r="F369" s="684"/>
      <c r="G369" s="684"/>
      <c r="H369" s="684"/>
      <c r="I369" s="684"/>
      <c r="J369" s="684"/>
      <c r="K369" s="684"/>
      <c r="L369" s="684"/>
      <c r="M369" s="685"/>
    </row>
    <row r="370" spans="4:13" s="682" customFormat="1" x14ac:dyDescent="0.2">
      <c r="D370" s="683"/>
      <c r="F370" s="684"/>
      <c r="G370" s="684"/>
      <c r="H370" s="684"/>
      <c r="I370" s="684"/>
      <c r="J370" s="684"/>
      <c r="K370" s="684"/>
      <c r="L370" s="684"/>
      <c r="M370" s="685"/>
    </row>
    <row r="371" spans="4:13" s="682" customFormat="1" x14ac:dyDescent="0.2">
      <c r="D371" s="683"/>
      <c r="F371" s="684"/>
      <c r="G371" s="684"/>
      <c r="H371" s="684"/>
      <c r="I371" s="684"/>
      <c r="J371" s="684"/>
      <c r="K371" s="684"/>
      <c r="L371" s="684"/>
      <c r="M371" s="685"/>
    </row>
    <row r="372" spans="4:13" s="682" customFormat="1" x14ac:dyDescent="0.2">
      <c r="D372" s="683"/>
      <c r="F372" s="684"/>
      <c r="G372" s="684"/>
      <c r="H372" s="684"/>
      <c r="I372" s="684"/>
      <c r="J372" s="684"/>
      <c r="K372" s="684"/>
      <c r="L372" s="684"/>
      <c r="M372" s="685"/>
    </row>
    <row r="373" spans="4:13" s="682" customFormat="1" x14ac:dyDescent="0.2">
      <c r="D373" s="683"/>
      <c r="F373" s="684"/>
      <c r="G373" s="684"/>
      <c r="H373" s="684"/>
      <c r="I373" s="684"/>
      <c r="J373" s="684"/>
      <c r="K373" s="684"/>
      <c r="L373" s="684"/>
      <c r="M373" s="685"/>
    </row>
    <row r="374" spans="4:13" s="682" customFormat="1" x14ac:dyDescent="0.2">
      <c r="D374" s="683"/>
      <c r="F374" s="684"/>
      <c r="G374" s="684"/>
      <c r="H374" s="684"/>
      <c r="I374" s="684"/>
      <c r="J374" s="684"/>
      <c r="K374" s="684"/>
      <c r="L374" s="684"/>
      <c r="M374" s="685"/>
    </row>
    <row r="375" spans="4:13" s="682" customFormat="1" x14ac:dyDescent="0.2">
      <c r="D375" s="683"/>
      <c r="F375" s="684"/>
      <c r="G375" s="684"/>
      <c r="H375" s="684"/>
      <c r="I375" s="684"/>
      <c r="J375" s="684"/>
      <c r="K375" s="684"/>
      <c r="L375" s="684"/>
      <c r="M375" s="685"/>
    </row>
    <row r="376" spans="4:13" s="682" customFormat="1" x14ac:dyDescent="0.2">
      <c r="D376" s="683"/>
      <c r="F376" s="684"/>
      <c r="G376" s="684"/>
      <c r="H376" s="684"/>
      <c r="I376" s="684"/>
      <c r="J376" s="684"/>
      <c r="K376" s="684"/>
      <c r="L376" s="684"/>
      <c r="M376" s="685"/>
    </row>
    <row r="377" spans="4:13" s="682" customFormat="1" x14ac:dyDescent="0.2">
      <c r="D377" s="683"/>
      <c r="F377" s="684"/>
      <c r="G377" s="684"/>
      <c r="H377" s="684"/>
      <c r="I377" s="684"/>
      <c r="J377" s="684"/>
      <c r="K377" s="684"/>
      <c r="L377" s="684"/>
      <c r="M377" s="685"/>
    </row>
    <row r="378" spans="4:13" s="682" customFormat="1" x14ac:dyDescent="0.2">
      <c r="D378" s="683"/>
      <c r="F378" s="684"/>
      <c r="G378" s="684"/>
      <c r="H378" s="684"/>
      <c r="I378" s="684"/>
      <c r="J378" s="684"/>
      <c r="K378" s="684"/>
      <c r="L378" s="684"/>
      <c r="M378" s="685"/>
    </row>
    <row r="379" spans="4:13" s="682" customFormat="1" x14ac:dyDescent="0.2">
      <c r="D379" s="683"/>
      <c r="F379" s="684"/>
      <c r="G379" s="684"/>
      <c r="H379" s="684"/>
      <c r="I379" s="684"/>
      <c r="J379" s="684"/>
      <c r="K379" s="684"/>
      <c r="L379" s="684"/>
      <c r="M379" s="685"/>
    </row>
    <row r="380" spans="4:13" s="682" customFormat="1" x14ac:dyDescent="0.2">
      <c r="D380" s="683"/>
      <c r="F380" s="684"/>
      <c r="G380" s="684"/>
      <c r="H380" s="684"/>
      <c r="I380" s="684"/>
      <c r="J380" s="684"/>
      <c r="K380" s="684"/>
      <c r="L380" s="684"/>
      <c r="M380" s="685"/>
    </row>
    <row r="381" spans="4:13" s="682" customFormat="1" x14ac:dyDescent="0.2">
      <c r="D381" s="683"/>
      <c r="F381" s="684"/>
      <c r="G381" s="684"/>
      <c r="H381" s="684"/>
      <c r="I381" s="684"/>
      <c r="J381" s="684"/>
      <c r="K381" s="684"/>
      <c r="L381" s="684"/>
      <c r="M381" s="685"/>
    </row>
    <row r="382" spans="4:13" s="682" customFormat="1" x14ac:dyDescent="0.2">
      <c r="D382" s="683"/>
      <c r="F382" s="684"/>
      <c r="G382" s="684"/>
      <c r="H382" s="684"/>
      <c r="I382" s="684"/>
      <c r="J382" s="684"/>
      <c r="K382" s="684"/>
      <c r="L382" s="684"/>
      <c r="M382" s="685"/>
    </row>
    <row r="383" spans="4:13" s="682" customFormat="1" x14ac:dyDescent="0.2">
      <c r="D383" s="683"/>
      <c r="F383" s="684"/>
      <c r="G383" s="684"/>
      <c r="H383" s="684"/>
      <c r="I383" s="684"/>
      <c r="J383" s="684"/>
      <c r="K383" s="684"/>
      <c r="L383" s="684"/>
      <c r="M383" s="685"/>
    </row>
    <row r="384" spans="4:13" s="682" customFormat="1" x14ac:dyDescent="0.2">
      <c r="D384" s="683"/>
      <c r="F384" s="684"/>
      <c r="G384" s="684"/>
      <c r="H384" s="684"/>
      <c r="I384" s="684"/>
      <c r="J384" s="684"/>
      <c r="K384" s="684"/>
      <c r="L384" s="684"/>
      <c r="M384" s="685"/>
    </row>
    <row r="385" spans="4:13" s="682" customFormat="1" x14ac:dyDescent="0.2">
      <c r="D385" s="683"/>
      <c r="F385" s="684"/>
      <c r="G385" s="684"/>
      <c r="H385" s="684"/>
      <c r="I385" s="684"/>
      <c r="J385" s="684"/>
      <c r="K385" s="684"/>
      <c r="L385" s="684"/>
      <c r="M385" s="685"/>
    </row>
    <row r="386" spans="4:13" s="682" customFormat="1" x14ac:dyDescent="0.2">
      <c r="D386" s="683"/>
      <c r="F386" s="684"/>
      <c r="G386" s="684"/>
      <c r="H386" s="684"/>
      <c r="I386" s="684"/>
      <c r="J386" s="684"/>
      <c r="K386" s="684"/>
      <c r="L386" s="684"/>
      <c r="M386" s="685"/>
    </row>
    <row r="387" spans="4:13" s="682" customFormat="1" x14ac:dyDescent="0.2">
      <c r="D387" s="683"/>
      <c r="F387" s="684"/>
      <c r="G387" s="684"/>
      <c r="H387" s="684"/>
      <c r="I387" s="684"/>
      <c r="J387" s="684"/>
      <c r="K387" s="684"/>
      <c r="L387" s="684"/>
      <c r="M387" s="685"/>
    </row>
    <row r="388" spans="4:13" s="682" customFormat="1" x14ac:dyDescent="0.2">
      <c r="D388" s="683"/>
      <c r="F388" s="684"/>
      <c r="G388" s="684"/>
      <c r="H388" s="684"/>
      <c r="I388" s="684"/>
      <c r="J388" s="684"/>
      <c r="K388" s="684"/>
      <c r="L388" s="684"/>
      <c r="M388" s="685"/>
    </row>
    <row r="389" spans="4:13" s="682" customFormat="1" x14ac:dyDescent="0.2">
      <c r="D389" s="683"/>
      <c r="F389" s="684"/>
      <c r="G389" s="684"/>
      <c r="H389" s="684"/>
      <c r="I389" s="684"/>
      <c r="J389" s="684"/>
      <c r="K389" s="684"/>
      <c r="L389" s="684"/>
      <c r="M389" s="685"/>
    </row>
    <row r="390" spans="4:13" s="682" customFormat="1" x14ac:dyDescent="0.2">
      <c r="D390" s="683"/>
      <c r="F390" s="684"/>
      <c r="G390" s="684"/>
      <c r="H390" s="684"/>
      <c r="I390" s="684"/>
      <c r="J390" s="684"/>
      <c r="K390" s="684"/>
      <c r="L390" s="684"/>
      <c r="M390" s="685"/>
    </row>
    <row r="391" spans="4:13" s="682" customFormat="1" x14ac:dyDescent="0.2">
      <c r="D391" s="683"/>
      <c r="F391" s="684"/>
      <c r="G391" s="684"/>
      <c r="H391" s="684"/>
      <c r="I391" s="684"/>
      <c r="J391" s="684"/>
      <c r="K391" s="684"/>
      <c r="L391" s="684"/>
      <c r="M391" s="685"/>
    </row>
    <row r="392" spans="4:13" s="682" customFormat="1" x14ac:dyDescent="0.2">
      <c r="D392" s="683"/>
      <c r="F392" s="684"/>
      <c r="G392" s="684"/>
      <c r="H392" s="684"/>
      <c r="I392" s="684"/>
      <c r="J392" s="684"/>
      <c r="K392" s="684"/>
      <c r="L392" s="684"/>
      <c r="M392" s="685"/>
    </row>
    <row r="393" spans="4:13" s="682" customFormat="1" x14ac:dyDescent="0.2">
      <c r="D393" s="683"/>
      <c r="F393" s="684"/>
      <c r="G393" s="684"/>
      <c r="H393" s="684"/>
      <c r="I393" s="684"/>
      <c r="J393" s="684"/>
      <c r="K393" s="684"/>
      <c r="L393" s="684"/>
      <c r="M393" s="685"/>
    </row>
    <row r="394" spans="4:13" s="682" customFormat="1" x14ac:dyDescent="0.2">
      <c r="D394" s="683"/>
      <c r="F394" s="684"/>
      <c r="G394" s="684"/>
      <c r="H394" s="684"/>
      <c r="I394" s="684"/>
      <c r="J394" s="684"/>
      <c r="K394" s="684"/>
      <c r="L394" s="684"/>
      <c r="M394" s="685"/>
    </row>
    <row r="395" spans="4:13" s="682" customFormat="1" x14ac:dyDescent="0.2">
      <c r="D395" s="683"/>
      <c r="F395" s="684"/>
      <c r="G395" s="684"/>
      <c r="H395" s="684"/>
      <c r="I395" s="684"/>
      <c r="J395" s="684"/>
      <c r="K395" s="684"/>
      <c r="L395" s="684"/>
      <c r="M395" s="685"/>
    </row>
    <row r="396" spans="4:13" s="682" customFormat="1" x14ac:dyDescent="0.2">
      <c r="D396" s="683"/>
      <c r="F396" s="684"/>
      <c r="G396" s="684"/>
      <c r="H396" s="684"/>
      <c r="I396" s="684"/>
      <c r="J396" s="684"/>
      <c r="K396" s="684"/>
      <c r="L396" s="684"/>
      <c r="M396" s="685"/>
    </row>
    <row r="397" spans="4:13" s="682" customFormat="1" x14ac:dyDescent="0.2">
      <c r="D397" s="683"/>
      <c r="F397" s="684"/>
      <c r="G397" s="684"/>
      <c r="H397" s="684"/>
      <c r="I397" s="684"/>
      <c r="J397" s="684"/>
      <c r="K397" s="684"/>
      <c r="L397" s="684"/>
      <c r="M397" s="685"/>
    </row>
    <row r="398" spans="4:13" s="682" customFormat="1" x14ac:dyDescent="0.2">
      <c r="D398" s="683"/>
      <c r="F398" s="684"/>
      <c r="G398" s="684"/>
      <c r="H398" s="684"/>
      <c r="I398" s="684"/>
      <c r="J398" s="684"/>
      <c r="K398" s="684"/>
      <c r="L398" s="684"/>
      <c r="M398" s="685"/>
    </row>
    <row r="399" spans="4:13" s="682" customFormat="1" x14ac:dyDescent="0.2">
      <c r="D399" s="683"/>
      <c r="F399" s="684"/>
      <c r="G399" s="684"/>
      <c r="H399" s="684"/>
      <c r="I399" s="684"/>
      <c r="J399" s="684"/>
      <c r="K399" s="684"/>
      <c r="L399" s="684"/>
      <c r="M399" s="685"/>
    </row>
    <row r="400" spans="4:13" s="682" customFormat="1" x14ac:dyDescent="0.2">
      <c r="D400" s="683"/>
      <c r="F400" s="684"/>
      <c r="G400" s="684"/>
      <c r="H400" s="684"/>
      <c r="I400" s="684"/>
      <c r="J400" s="684"/>
      <c r="K400" s="684"/>
      <c r="L400" s="684"/>
      <c r="M400" s="685"/>
    </row>
    <row r="401" spans="4:13" s="682" customFormat="1" x14ac:dyDescent="0.2">
      <c r="D401" s="683"/>
      <c r="F401" s="684"/>
      <c r="G401" s="684"/>
      <c r="H401" s="684"/>
      <c r="I401" s="684"/>
      <c r="J401" s="684"/>
      <c r="K401" s="684"/>
      <c r="L401" s="684"/>
      <c r="M401" s="685"/>
    </row>
    <row r="402" spans="4:13" s="682" customFormat="1" x14ac:dyDescent="0.2">
      <c r="D402" s="683"/>
      <c r="F402" s="684"/>
      <c r="G402" s="684"/>
      <c r="H402" s="684"/>
      <c r="I402" s="684"/>
      <c r="J402" s="684"/>
      <c r="K402" s="684"/>
      <c r="L402" s="684"/>
      <c r="M402" s="685"/>
    </row>
    <row r="403" spans="4:13" s="682" customFormat="1" x14ac:dyDescent="0.2">
      <c r="D403" s="683"/>
      <c r="F403" s="684"/>
      <c r="G403" s="684"/>
      <c r="H403" s="684"/>
      <c r="I403" s="684"/>
      <c r="J403" s="684"/>
      <c r="K403" s="684"/>
      <c r="L403" s="684"/>
      <c r="M403" s="685"/>
    </row>
    <row r="404" spans="4:13" s="682" customFormat="1" x14ac:dyDescent="0.2">
      <c r="D404" s="683"/>
      <c r="F404" s="684"/>
      <c r="G404" s="684"/>
      <c r="H404" s="684"/>
      <c r="I404" s="684"/>
      <c r="J404" s="684"/>
      <c r="K404" s="684"/>
      <c r="L404" s="684"/>
      <c r="M404" s="685"/>
    </row>
    <row r="405" spans="4:13" s="682" customFormat="1" x14ac:dyDescent="0.2">
      <c r="D405" s="683"/>
      <c r="F405" s="684"/>
      <c r="G405" s="684"/>
      <c r="H405" s="684"/>
      <c r="I405" s="684"/>
      <c r="J405" s="684"/>
      <c r="K405" s="684"/>
      <c r="L405" s="684"/>
      <c r="M405" s="685"/>
    </row>
    <row r="406" spans="4:13" s="682" customFormat="1" x14ac:dyDescent="0.2">
      <c r="D406" s="683"/>
      <c r="F406" s="684"/>
      <c r="G406" s="684"/>
      <c r="H406" s="684"/>
      <c r="I406" s="684"/>
      <c r="J406" s="684"/>
      <c r="K406" s="684"/>
      <c r="L406" s="684"/>
      <c r="M406" s="685"/>
    </row>
    <row r="407" spans="4:13" s="682" customFormat="1" x14ac:dyDescent="0.2">
      <c r="D407" s="683"/>
      <c r="F407" s="684"/>
      <c r="G407" s="684"/>
      <c r="H407" s="684"/>
      <c r="I407" s="684"/>
      <c r="J407" s="684"/>
      <c r="K407" s="684"/>
      <c r="L407" s="684"/>
      <c r="M407" s="685"/>
    </row>
    <row r="408" spans="4:13" s="682" customFormat="1" x14ac:dyDescent="0.2">
      <c r="D408" s="683"/>
      <c r="F408" s="684"/>
      <c r="G408" s="684"/>
      <c r="H408" s="684"/>
      <c r="I408" s="684"/>
      <c r="J408" s="684"/>
      <c r="K408" s="684"/>
      <c r="L408" s="684"/>
      <c r="M408" s="685"/>
    </row>
    <row r="409" spans="4:13" s="682" customFormat="1" x14ac:dyDescent="0.2">
      <c r="D409" s="683"/>
      <c r="F409" s="684"/>
      <c r="G409" s="684"/>
      <c r="H409" s="684"/>
      <c r="I409" s="684"/>
      <c r="J409" s="684"/>
      <c r="K409" s="684"/>
      <c r="L409" s="684"/>
      <c r="M409" s="685"/>
    </row>
    <row r="410" spans="4:13" s="682" customFormat="1" x14ac:dyDescent="0.2">
      <c r="D410" s="683"/>
      <c r="F410" s="684"/>
      <c r="G410" s="684"/>
      <c r="H410" s="684"/>
      <c r="I410" s="684"/>
      <c r="J410" s="684"/>
      <c r="K410" s="684"/>
      <c r="L410" s="684"/>
      <c r="M410" s="685"/>
    </row>
    <row r="411" spans="4:13" s="682" customFormat="1" x14ac:dyDescent="0.2">
      <c r="D411" s="683"/>
      <c r="F411" s="684"/>
      <c r="G411" s="684"/>
      <c r="H411" s="684"/>
      <c r="I411" s="684"/>
      <c r="J411" s="684"/>
      <c r="K411" s="684"/>
      <c r="L411" s="684"/>
      <c r="M411" s="685"/>
    </row>
    <row r="412" spans="4:13" s="682" customFormat="1" x14ac:dyDescent="0.2">
      <c r="D412" s="683"/>
      <c r="F412" s="684"/>
      <c r="G412" s="684"/>
      <c r="H412" s="684"/>
      <c r="I412" s="684"/>
      <c r="J412" s="684"/>
      <c r="K412" s="684"/>
      <c r="L412" s="684"/>
      <c r="M412" s="685"/>
    </row>
    <row r="413" spans="4:13" s="682" customFormat="1" x14ac:dyDescent="0.2">
      <c r="D413" s="683"/>
      <c r="F413" s="684"/>
      <c r="G413" s="684"/>
      <c r="H413" s="684"/>
      <c r="I413" s="684"/>
      <c r="J413" s="684"/>
      <c r="K413" s="684"/>
      <c r="L413" s="684"/>
      <c r="M413" s="685"/>
    </row>
    <row r="414" spans="4:13" s="682" customFormat="1" x14ac:dyDescent="0.2">
      <c r="D414" s="683"/>
      <c r="F414" s="684"/>
      <c r="G414" s="684"/>
      <c r="H414" s="684"/>
      <c r="I414" s="684"/>
      <c r="J414" s="684"/>
      <c r="K414" s="684"/>
      <c r="L414" s="684"/>
      <c r="M414" s="685"/>
    </row>
    <row r="415" spans="4:13" s="682" customFormat="1" x14ac:dyDescent="0.2">
      <c r="D415" s="683"/>
      <c r="F415" s="684"/>
      <c r="G415" s="684"/>
      <c r="H415" s="684"/>
      <c r="I415" s="684"/>
      <c r="J415" s="684"/>
      <c r="K415" s="684"/>
      <c r="L415" s="684"/>
      <c r="M415" s="685"/>
    </row>
    <row r="416" spans="4:13" s="682" customFormat="1" x14ac:dyDescent="0.2">
      <c r="D416" s="683"/>
      <c r="F416" s="684"/>
      <c r="G416" s="684"/>
      <c r="H416" s="684"/>
      <c r="I416" s="684"/>
      <c r="J416" s="684"/>
      <c r="K416" s="684"/>
      <c r="L416" s="684"/>
      <c r="M416" s="685"/>
    </row>
    <row r="417" spans="4:13" s="682" customFormat="1" x14ac:dyDescent="0.2">
      <c r="D417" s="683"/>
      <c r="F417" s="684"/>
      <c r="G417" s="684"/>
      <c r="H417" s="684"/>
      <c r="I417" s="684"/>
      <c r="J417" s="684"/>
      <c r="K417" s="684"/>
      <c r="L417" s="684"/>
      <c r="M417" s="685"/>
    </row>
    <row r="418" spans="4:13" s="682" customFormat="1" x14ac:dyDescent="0.2">
      <c r="D418" s="683"/>
      <c r="F418" s="684"/>
      <c r="G418" s="684"/>
      <c r="H418" s="684"/>
      <c r="I418" s="684"/>
      <c r="J418" s="684"/>
      <c r="K418" s="684"/>
      <c r="L418" s="684"/>
      <c r="M418" s="685"/>
    </row>
    <row r="419" spans="4:13" s="682" customFormat="1" x14ac:dyDescent="0.2">
      <c r="D419" s="683"/>
      <c r="F419" s="684"/>
      <c r="G419" s="684"/>
      <c r="H419" s="684"/>
      <c r="I419" s="684"/>
      <c r="J419" s="684"/>
      <c r="K419" s="684"/>
      <c r="L419" s="684"/>
      <c r="M419" s="685"/>
    </row>
    <row r="420" spans="4:13" s="682" customFormat="1" x14ac:dyDescent="0.2">
      <c r="D420" s="683"/>
      <c r="F420" s="684"/>
      <c r="G420" s="684"/>
      <c r="H420" s="684"/>
      <c r="I420" s="684"/>
      <c r="J420" s="684"/>
      <c r="K420" s="684"/>
      <c r="L420" s="684"/>
      <c r="M420" s="685"/>
    </row>
    <row r="421" spans="4:13" s="682" customFormat="1" x14ac:dyDescent="0.2">
      <c r="D421" s="683"/>
      <c r="F421" s="684"/>
      <c r="G421" s="684"/>
      <c r="H421" s="684"/>
      <c r="I421" s="684"/>
      <c r="J421" s="684"/>
      <c r="K421" s="684"/>
      <c r="L421" s="684"/>
      <c r="M421" s="685"/>
    </row>
    <row r="422" spans="4:13" s="682" customFormat="1" x14ac:dyDescent="0.2">
      <c r="D422" s="683"/>
      <c r="F422" s="684"/>
      <c r="G422" s="684"/>
      <c r="H422" s="684"/>
      <c r="I422" s="684"/>
      <c r="J422" s="684"/>
      <c r="K422" s="684"/>
      <c r="L422" s="684"/>
      <c r="M422" s="685"/>
    </row>
    <row r="423" spans="4:13" s="682" customFormat="1" x14ac:dyDescent="0.2">
      <c r="D423" s="683"/>
      <c r="F423" s="684"/>
      <c r="G423" s="684"/>
      <c r="H423" s="684"/>
      <c r="I423" s="684"/>
      <c r="J423" s="684"/>
      <c r="K423" s="684"/>
      <c r="L423" s="684"/>
      <c r="M423" s="685"/>
    </row>
    <row r="424" spans="4:13" s="682" customFormat="1" x14ac:dyDescent="0.2">
      <c r="D424" s="683"/>
      <c r="F424" s="684"/>
      <c r="G424" s="684"/>
      <c r="H424" s="684"/>
      <c r="I424" s="684"/>
      <c r="J424" s="684"/>
      <c r="K424" s="684"/>
      <c r="L424" s="684"/>
      <c r="M424" s="685"/>
    </row>
    <row r="425" spans="4:13" s="682" customFormat="1" x14ac:dyDescent="0.2">
      <c r="D425" s="683"/>
      <c r="F425" s="684"/>
      <c r="G425" s="684"/>
      <c r="H425" s="684"/>
      <c r="I425" s="684"/>
      <c r="J425" s="684"/>
      <c r="K425" s="684"/>
      <c r="L425" s="684"/>
      <c r="M425" s="685"/>
    </row>
    <row r="426" spans="4:13" s="682" customFormat="1" x14ac:dyDescent="0.2">
      <c r="D426" s="683"/>
      <c r="F426" s="684"/>
      <c r="G426" s="684"/>
      <c r="H426" s="684"/>
      <c r="I426" s="684"/>
      <c r="J426" s="684"/>
      <c r="K426" s="684"/>
      <c r="L426" s="684"/>
      <c r="M426" s="685"/>
    </row>
    <row r="427" spans="4:13" s="682" customFormat="1" x14ac:dyDescent="0.2">
      <c r="D427" s="683"/>
      <c r="F427" s="684"/>
      <c r="G427" s="684"/>
      <c r="H427" s="684"/>
      <c r="I427" s="684"/>
      <c r="J427" s="684"/>
      <c r="K427" s="684"/>
      <c r="L427" s="684"/>
      <c r="M427" s="685"/>
    </row>
    <row r="428" spans="4:13" s="682" customFormat="1" x14ac:dyDescent="0.2">
      <c r="D428" s="683"/>
      <c r="F428" s="684"/>
      <c r="G428" s="684"/>
      <c r="H428" s="684"/>
      <c r="I428" s="684"/>
      <c r="J428" s="684"/>
      <c r="K428" s="684"/>
      <c r="L428" s="684"/>
      <c r="M428" s="685"/>
    </row>
    <row r="429" spans="4:13" s="682" customFormat="1" x14ac:dyDescent="0.2">
      <c r="D429" s="683"/>
      <c r="F429" s="684"/>
      <c r="G429" s="684"/>
      <c r="H429" s="684"/>
      <c r="I429" s="684"/>
      <c r="J429" s="684"/>
      <c r="K429" s="684"/>
      <c r="L429" s="684"/>
      <c r="M429" s="685"/>
    </row>
    <row r="430" spans="4:13" s="682" customFormat="1" x14ac:dyDescent="0.2">
      <c r="D430" s="683"/>
      <c r="F430" s="684"/>
      <c r="G430" s="684"/>
      <c r="H430" s="684"/>
      <c r="I430" s="684"/>
      <c r="J430" s="684"/>
      <c r="K430" s="684"/>
      <c r="L430" s="684"/>
      <c r="M430" s="685"/>
    </row>
    <row r="431" spans="4:13" s="682" customFormat="1" x14ac:dyDescent="0.2">
      <c r="D431" s="683"/>
      <c r="F431" s="684"/>
      <c r="G431" s="684"/>
      <c r="H431" s="684"/>
      <c r="I431" s="684"/>
      <c r="J431" s="684"/>
      <c r="K431" s="684"/>
      <c r="L431" s="684"/>
      <c r="M431" s="685"/>
    </row>
    <row r="432" spans="4:13" s="682" customFormat="1" x14ac:dyDescent="0.2">
      <c r="D432" s="683"/>
      <c r="F432" s="684"/>
      <c r="G432" s="684"/>
      <c r="H432" s="684"/>
      <c r="I432" s="684"/>
      <c r="J432" s="684"/>
      <c r="K432" s="684"/>
      <c r="L432" s="684"/>
      <c r="M432" s="685"/>
    </row>
    <row r="433" spans="4:13" s="682" customFormat="1" x14ac:dyDescent="0.2">
      <c r="D433" s="683"/>
      <c r="F433" s="684"/>
      <c r="G433" s="684"/>
      <c r="H433" s="684"/>
      <c r="I433" s="684"/>
      <c r="J433" s="684"/>
      <c r="K433" s="684"/>
      <c r="L433" s="684"/>
      <c r="M433" s="685"/>
    </row>
    <row r="434" spans="4:13" s="682" customFormat="1" x14ac:dyDescent="0.2">
      <c r="D434" s="683"/>
      <c r="F434" s="684"/>
      <c r="G434" s="684"/>
      <c r="H434" s="684"/>
      <c r="I434" s="684"/>
      <c r="J434" s="684"/>
      <c r="K434" s="684"/>
      <c r="L434" s="684"/>
      <c r="M434" s="685"/>
    </row>
    <row r="435" spans="4:13" s="682" customFormat="1" x14ac:dyDescent="0.2">
      <c r="D435" s="683"/>
      <c r="F435" s="684"/>
      <c r="G435" s="684"/>
      <c r="H435" s="684"/>
      <c r="I435" s="684"/>
      <c r="J435" s="684"/>
      <c r="K435" s="684"/>
      <c r="L435" s="684"/>
      <c r="M435" s="685"/>
    </row>
    <row r="436" spans="4:13" s="682" customFormat="1" x14ac:dyDescent="0.2">
      <c r="D436" s="683"/>
      <c r="F436" s="684"/>
      <c r="G436" s="684"/>
      <c r="H436" s="684"/>
      <c r="I436" s="684"/>
      <c r="J436" s="684"/>
      <c r="K436" s="684"/>
      <c r="L436" s="684"/>
      <c r="M436" s="685"/>
    </row>
    <row r="437" spans="4:13" s="682" customFormat="1" x14ac:dyDescent="0.2">
      <c r="D437" s="683"/>
      <c r="F437" s="684"/>
      <c r="G437" s="684"/>
      <c r="H437" s="684"/>
      <c r="I437" s="684"/>
      <c r="J437" s="684"/>
      <c r="K437" s="684"/>
      <c r="L437" s="684"/>
      <c r="M437" s="685"/>
    </row>
    <row r="438" spans="4:13" s="682" customFormat="1" x14ac:dyDescent="0.2">
      <c r="D438" s="683"/>
      <c r="F438" s="684"/>
      <c r="G438" s="684"/>
      <c r="H438" s="684"/>
      <c r="I438" s="684"/>
      <c r="J438" s="684"/>
      <c r="K438" s="684"/>
      <c r="L438" s="684"/>
      <c r="M438" s="685"/>
    </row>
    <row r="439" spans="4:13" s="682" customFormat="1" x14ac:dyDescent="0.2">
      <c r="D439" s="683"/>
      <c r="F439" s="684"/>
      <c r="G439" s="684"/>
      <c r="H439" s="684"/>
      <c r="I439" s="684"/>
      <c r="J439" s="684"/>
      <c r="K439" s="684"/>
      <c r="L439" s="684"/>
      <c r="M439" s="685"/>
    </row>
    <row r="440" spans="4:13" s="682" customFormat="1" x14ac:dyDescent="0.2">
      <c r="D440" s="683"/>
      <c r="F440" s="684"/>
      <c r="G440" s="684"/>
      <c r="H440" s="684"/>
      <c r="I440" s="684"/>
      <c r="J440" s="684"/>
      <c r="K440" s="684"/>
      <c r="L440" s="684"/>
      <c r="M440" s="685"/>
    </row>
    <row r="441" spans="4:13" s="682" customFormat="1" x14ac:dyDescent="0.2">
      <c r="D441" s="683"/>
      <c r="F441" s="684"/>
      <c r="G441" s="684"/>
      <c r="H441" s="684"/>
      <c r="I441" s="684"/>
      <c r="J441" s="684"/>
      <c r="K441" s="684"/>
      <c r="L441" s="684"/>
      <c r="M441" s="685"/>
    </row>
    <row r="442" spans="4:13" s="682" customFormat="1" x14ac:dyDescent="0.2">
      <c r="D442" s="683"/>
      <c r="F442" s="684"/>
      <c r="G442" s="684"/>
      <c r="H442" s="684"/>
      <c r="I442" s="684"/>
      <c r="J442" s="684"/>
      <c r="K442" s="684"/>
      <c r="L442" s="684"/>
      <c r="M442" s="685"/>
    </row>
    <row r="443" spans="4:13" s="682" customFormat="1" x14ac:dyDescent="0.2">
      <c r="D443" s="683"/>
      <c r="F443" s="684"/>
      <c r="G443" s="684"/>
      <c r="H443" s="684"/>
      <c r="I443" s="684"/>
      <c r="J443" s="684"/>
      <c r="K443" s="684"/>
      <c r="L443" s="684"/>
      <c r="M443" s="685"/>
    </row>
    <row r="444" spans="4:13" s="682" customFormat="1" x14ac:dyDescent="0.2">
      <c r="D444" s="683"/>
      <c r="F444" s="684"/>
      <c r="G444" s="684"/>
      <c r="H444" s="684"/>
      <c r="I444" s="684"/>
      <c r="J444" s="684"/>
      <c r="K444" s="684"/>
      <c r="L444" s="684"/>
      <c r="M444" s="685"/>
    </row>
    <row r="445" spans="4:13" s="682" customFormat="1" x14ac:dyDescent="0.2">
      <c r="D445" s="683"/>
      <c r="F445" s="684"/>
      <c r="G445" s="684"/>
      <c r="H445" s="684"/>
      <c r="I445" s="684"/>
      <c r="J445" s="684"/>
      <c r="K445" s="684"/>
      <c r="L445" s="684"/>
      <c r="M445" s="685"/>
    </row>
    <row r="446" spans="4:13" s="682" customFormat="1" x14ac:dyDescent="0.2">
      <c r="D446" s="683"/>
      <c r="F446" s="684"/>
      <c r="G446" s="684"/>
      <c r="H446" s="684"/>
      <c r="I446" s="684"/>
      <c r="J446" s="684"/>
      <c r="K446" s="684"/>
      <c r="L446" s="684"/>
      <c r="M446" s="685"/>
    </row>
    <row r="447" spans="4:13" s="682" customFormat="1" x14ac:dyDescent="0.2">
      <c r="D447" s="683"/>
      <c r="F447" s="684"/>
      <c r="G447" s="684"/>
      <c r="H447" s="684"/>
      <c r="I447" s="684"/>
      <c r="J447" s="684"/>
      <c r="K447" s="684"/>
      <c r="L447" s="684"/>
      <c r="M447" s="685"/>
    </row>
    <row r="448" spans="4:13" s="682" customFormat="1" x14ac:dyDescent="0.2">
      <c r="D448" s="683"/>
      <c r="F448" s="684"/>
      <c r="G448" s="684"/>
      <c r="H448" s="684"/>
      <c r="I448" s="684"/>
      <c r="J448" s="684"/>
      <c r="K448" s="684"/>
      <c r="L448" s="684"/>
      <c r="M448" s="685"/>
    </row>
    <row r="449" spans="4:13" s="682" customFormat="1" x14ac:dyDescent="0.2">
      <c r="D449" s="683"/>
      <c r="F449" s="684"/>
      <c r="G449" s="684"/>
      <c r="H449" s="684"/>
      <c r="I449" s="684"/>
      <c r="J449" s="684"/>
      <c r="K449" s="684"/>
      <c r="L449" s="684"/>
      <c r="M449" s="685"/>
    </row>
    <row r="450" spans="4:13" s="682" customFormat="1" x14ac:dyDescent="0.2">
      <c r="D450" s="683"/>
      <c r="F450" s="684"/>
      <c r="G450" s="684"/>
      <c r="H450" s="684"/>
      <c r="I450" s="684"/>
      <c r="J450" s="684"/>
      <c r="K450" s="684"/>
      <c r="L450" s="684"/>
      <c r="M450" s="685"/>
    </row>
    <row r="451" spans="4:13" s="682" customFormat="1" x14ac:dyDescent="0.2">
      <c r="D451" s="683"/>
      <c r="F451" s="684"/>
      <c r="G451" s="684"/>
      <c r="H451" s="684"/>
      <c r="I451" s="684"/>
      <c r="J451" s="684"/>
      <c r="K451" s="684"/>
      <c r="L451" s="684"/>
      <c r="M451" s="685"/>
    </row>
    <row r="452" spans="4:13" s="682" customFormat="1" x14ac:dyDescent="0.2">
      <c r="D452" s="683"/>
      <c r="F452" s="684"/>
      <c r="G452" s="684"/>
      <c r="H452" s="684"/>
      <c r="I452" s="684"/>
      <c r="J452" s="684"/>
      <c r="K452" s="684"/>
      <c r="L452" s="684"/>
      <c r="M452" s="685"/>
    </row>
    <row r="453" spans="4:13" s="682" customFormat="1" x14ac:dyDescent="0.2">
      <c r="D453" s="683"/>
      <c r="F453" s="684"/>
      <c r="G453" s="684"/>
      <c r="H453" s="684"/>
      <c r="I453" s="684"/>
      <c r="J453" s="684"/>
      <c r="K453" s="684"/>
      <c r="L453" s="684"/>
      <c r="M453" s="685"/>
    </row>
    <row r="454" spans="4:13" s="682" customFormat="1" x14ac:dyDescent="0.2">
      <c r="D454" s="683"/>
      <c r="F454" s="684"/>
      <c r="G454" s="684"/>
      <c r="H454" s="684"/>
      <c r="I454" s="684"/>
      <c r="J454" s="684"/>
      <c r="K454" s="684"/>
      <c r="L454" s="684"/>
      <c r="M454" s="685"/>
    </row>
    <row r="455" spans="4:13" s="682" customFormat="1" x14ac:dyDescent="0.2">
      <c r="D455" s="683"/>
      <c r="F455" s="684"/>
      <c r="G455" s="684"/>
      <c r="H455" s="684"/>
      <c r="I455" s="684"/>
      <c r="J455" s="684"/>
      <c r="K455" s="684"/>
      <c r="L455" s="684"/>
      <c r="M455" s="685"/>
    </row>
    <row r="456" spans="4:13" s="682" customFormat="1" x14ac:dyDescent="0.2">
      <c r="D456" s="683"/>
      <c r="F456" s="684"/>
      <c r="G456" s="684"/>
      <c r="H456" s="684"/>
      <c r="I456" s="684"/>
      <c r="J456" s="684"/>
      <c r="K456" s="684"/>
      <c r="L456" s="684"/>
      <c r="M456" s="685"/>
    </row>
    <row r="457" spans="4:13" s="682" customFormat="1" x14ac:dyDescent="0.2">
      <c r="D457" s="683"/>
      <c r="F457" s="684"/>
      <c r="G457" s="684"/>
      <c r="H457" s="684"/>
      <c r="I457" s="684"/>
      <c r="J457" s="684"/>
      <c r="K457" s="684"/>
      <c r="L457" s="684"/>
      <c r="M457" s="685"/>
    </row>
    <row r="458" spans="4:13" s="682" customFormat="1" x14ac:dyDescent="0.2">
      <c r="D458" s="683"/>
      <c r="F458" s="684"/>
      <c r="G458" s="684"/>
      <c r="H458" s="684"/>
      <c r="I458" s="684"/>
      <c r="J458" s="684"/>
      <c r="K458" s="684"/>
      <c r="L458" s="684"/>
      <c r="M458" s="685"/>
    </row>
    <row r="459" spans="4:13" s="682" customFormat="1" x14ac:dyDescent="0.2">
      <c r="D459" s="683"/>
      <c r="F459" s="684"/>
      <c r="G459" s="684"/>
      <c r="H459" s="684"/>
      <c r="I459" s="684"/>
      <c r="J459" s="684"/>
      <c r="K459" s="684"/>
      <c r="L459" s="684"/>
      <c r="M459" s="685"/>
    </row>
    <row r="460" spans="4:13" s="682" customFormat="1" x14ac:dyDescent="0.2">
      <c r="D460" s="683"/>
      <c r="F460" s="684"/>
      <c r="G460" s="684"/>
      <c r="H460" s="684"/>
      <c r="I460" s="684"/>
      <c r="J460" s="684"/>
      <c r="K460" s="684"/>
      <c r="L460" s="684"/>
      <c r="M460" s="685"/>
    </row>
    <row r="461" spans="4:13" s="682" customFormat="1" x14ac:dyDescent="0.2">
      <c r="D461" s="683"/>
      <c r="F461" s="684"/>
      <c r="G461" s="684"/>
      <c r="H461" s="684"/>
      <c r="I461" s="684"/>
      <c r="J461" s="684"/>
      <c r="K461" s="684"/>
      <c r="L461" s="684"/>
      <c r="M461" s="685"/>
    </row>
    <row r="462" spans="4:13" s="682" customFormat="1" x14ac:dyDescent="0.2">
      <c r="D462" s="683"/>
      <c r="F462" s="684"/>
      <c r="G462" s="684"/>
      <c r="H462" s="684"/>
      <c r="I462" s="684"/>
      <c r="J462" s="684"/>
      <c r="K462" s="684"/>
      <c r="L462" s="684"/>
      <c r="M462" s="685"/>
    </row>
    <row r="463" spans="4:13" s="682" customFormat="1" x14ac:dyDescent="0.2">
      <c r="D463" s="683"/>
      <c r="F463" s="684"/>
      <c r="G463" s="684"/>
      <c r="H463" s="684"/>
      <c r="I463" s="684"/>
      <c r="J463" s="684"/>
      <c r="K463" s="684"/>
      <c r="L463" s="684"/>
      <c r="M463" s="685"/>
    </row>
    <row r="464" spans="4:13" s="682" customFormat="1" x14ac:dyDescent="0.2">
      <c r="D464" s="683"/>
      <c r="F464" s="684"/>
      <c r="G464" s="684"/>
      <c r="H464" s="684"/>
      <c r="I464" s="684"/>
      <c r="J464" s="684"/>
      <c r="K464" s="684"/>
      <c r="L464" s="684"/>
      <c r="M464" s="685"/>
    </row>
    <row r="465" spans="4:13" s="682" customFormat="1" x14ac:dyDescent="0.2">
      <c r="D465" s="683"/>
      <c r="F465" s="684"/>
      <c r="G465" s="684"/>
      <c r="H465" s="684"/>
      <c r="I465" s="684"/>
      <c r="J465" s="684"/>
      <c r="K465" s="684"/>
      <c r="L465" s="684"/>
      <c r="M465" s="685"/>
    </row>
    <row r="466" spans="4:13" s="682" customFormat="1" x14ac:dyDescent="0.2">
      <c r="D466" s="683"/>
      <c r="F466" s="684"/>
      <c r="G466" s="684"/>
      <c r="H466" s="684"/>
      <c r="I466" s="684"/>
      <c r="J466" s="684"/>
      <c r="K466" s="684"/>
      <c r="L466" s="684"/>
      <c r="M466" s="685"/>
    </row>
    <row r="467" spans="4:13" s="682" customFormat="1" x14ac:dyDescent="0.2">
      <c r="D467" s="683"/>
      <c r="F467" s="684"/>
      <c r="G467" s="684"/>
      <c r="H467" s="684"/>
      <c r="I467" s="684"/>
      <c r="J467" s="684"/>
      <c r="K467" s="684"/>
      <c r="L467" s="684"/>
      <c r="M467" s="685"/>
    </row>
    <row r="468" spans="4:13" s="682" customFormat="1" x14ac:dyDescent="0.2">
      <c r="D468" s="683"/>
      <c r="F468" s="684"/>
      <c r="G468" s="684"/>
      <c r="H468" s="684"/>
      <c r="I468" s="684"/>
      <c r="J468" s="684"/>
      <c r="K468" s="684"/>
      <c r="L468" s="684"/>
      <c r="M468" s="685"/>
    </row>
    <row r="469" spans="4:13" s="682" customFormat="1" x14ac:dyDescent="0.2">
      <c r="D469" s="683"/>
      <c r="F469" s="684"/>
      <c r="G469" s="684"/>
      <c r="H469" s="684"/>
      <c r="I469" s="684"/>
      <c r="J469" s="684"/>
      <c r="K469" s="684"/>
      <c r="L469" s="684"/>
      <c r="M469" s="685"/>
    </row>
    <row r="470" spans="4:13" s="682" customFormat="1" x14ac:dyDescent="0.2">
      <c r="D470" s="683"/>
      <c r="F470" s="684"/>
      <c r="G470" s="684"/>
      <c r="H470" s="684"/>
      <c r="I470" s="684"/>
      <c r="J470" s="684"/>
      <c r="K470" s="684"/>
      <c r="L470" s="684"/>
      <c r="M470" s="685"/>
    </row>
    <row r="471" spans="4:13" s="682" customFormat="1" x14ac:dyDescent="0.2">
      <c r="D471" s="683"/>
      <c r="F471" s="684"/>
      <c r="G471" s="684"/>
      <c r="H471" s="684"/>
      <c r="I471" s="684"/>
      <c r="J471" s="684"/>
      <c r="K471" s="684"/>
      <c r="L471" s="684"/>
      <c r="M471" s="685"/>
    </row>
    <row r="472" spans="4:13" s="682" customFormat="1" x14ac:dyDescent="0.2">
      <c r="D472" s="683"/>
      <c r="F472" s="684"/>
      <c r="G472" s="684"/>
      <c r="H472" s="684"/>
      <c r="I472" s="684"/>
      <c r="J472" s="684"/>
      <c r="K472" s="684"/>
      <c r="L472" s="684"/>
      <c r="M472" s="685"/>
    </row>
    <row r="473" spans="4:13" s="682" customFormat="1" x14ac:dyDescent="0.2">
      <c r="D473" s="683"/>
      <c r="F473" s="684"/>
      <c r="G473" s="684"/>
      <c r="H473" s="684"/>
      <c r="I473" s="684"/>
      <c r="J473" s="684"/>
      <c r="K473" s="684"/>
      <c r="L473" s="684"/>
      <c r="M473" s="685"/>
    </row>
    <row r="474" spans="4:13" s="682" customFormat="1" x14ac:dyDescent="0.2">
      <c r="D474" s="683"/>
      <c r="F474" s="684"/>
      <c r="G474" s="684"/>
      <c r="H474" s="684"/>
      <c r="I474" s="684"/>
      <c r="J474" s="684"/>
      <c r="K474" s="684"/>
      <c r="L474" s="684"/>
      <c r="M474" s="685"/>
    </row>
    <row r="475" spans="4:13" s="682" customFormat="1" x14ac:dyDescent="0.2">
      <c r="D475" s="683"/>
      <c r="F475" s="684"/>
      <c r="G475" s="684"/>
      <c r="H475" s="684"/>
      <c r="I475" s="684"/>
      <c r="J475" s="684"/>
      <c r="K475" s="684"/>
      <c r="L475" s="684"/>
      <c r="M475" s="685"/>
    </row>
    <row r="476" spans="4:13" s="682" customFormat="1" x14ac:dyDescent="0.2">
      <c r="D476" s="683"/>
      <c r="F476" s="684"/>
      <c r="G476" s="684"/>
      <c r="H476" s="684"/>
      <c r="I476" s="684"/>
      <c r="J476" s="684"/>
      <c r="K476" s="684"/>
      <c r="L476" s="684"/>
      <c r="M476" s="685"/>
    </row>
    <row r="477" spans="4:13" s="682" customFormat="1" x14ac:dyDescent="0.2">
      <c r="D477" s="683"/>
      <c r="F477" s="684"/>
      <c r="G477" s="684"/>
      <c r="H477" s="684"/>
      <c r="I477" s="684"/>
      <c r="J477" s="684"/>
      <c r="K477" s="684"/>
      <c r="L477" s="684"/>
      <c r="M477" s="685"/>
    </row>
    <row r="478" spans="4:13" s="682" customFormat="1" x14ac:dyDescent="0.2">
      <c r="D478" s="683"/>
      <c r="F478" s="684"/>
      <c r="G478" s="684"/>
      <c r="H478" s="684"/>
      <c r="I478" s="684"/>
      <c r="J478" s="684"/>
      <c r="K478" s="684"/>
      <c r="L478" s="684"/>
      <c r="M478" s="685"/>
    </row>
    <row r="479" spans="4:13" s="682" customFormat="1" x14ac:dyDescent="0.2">
      <c r="D479" s="683"/>
      <c r="F479" s="684"/>
      <c r="G479" s="684"/>
      <c r="H479" s="684"/>
      <c r="I479" s="684"/>
      <c r="J479" s="684"/>
      <c r="K479" s="684"/>
      <c r="L479" s="684"/>
      <c r="M479" s="685"/>
    </row>
    <row r="480" spans="4:13" s="682" customFormat="1" x14ac:dyDescent="0.2">
      <c r="D480" s="683"/>
      <c r="F480" s="684"/>
      <c r="G480" s="684"/>
      <c r="H480" s="684"/>
      <c r="I480" s="684"/>
      <c r="J480" s="684"/>
      <c r="K480" s="684"/>
      <c r="L480" s="684"/>
      <c r="M480" s="685"/>
    </row>
    <row r="481" spans="4:13" s="682" customFormat="1" x14ac:dyDescent="0.2">
      <c r="D481" s="683"/>
      <c r="F481" s="684"/>
      <c r="G481" s="684"/>
      <c r="H481" s="684"/>
      <c r="I481" s="684"/>
      <c r="J481" s="684"/>
      <c r="K481" s="684"/>
      <c r="L481" s="684"/>
      <c r="M481" s="685"/>
    </row>
    <row r="482" spans="4:13" s="682" customFormat="1" x14ac:dyDescent="0.2">
      <c r="D482" s="683"/>
      <c r="F482" s="684"/>
      <c r="G482" s="684"/>
      <c r="H482" s="684"/>
      <c r="I482" s="684"/>
      <c r="J482" s="684"/>
      <c r="K482" s="684"/>
      <c r="L482" s="684"/>
      <c r="M482" s="685"/>
    </row>
    <row r="483" spans="4:13" s="682" customFormat="1" x14ac:dyDescent="0.2">
      <c r="D483" s="683"/>
      <c r="F483" s="684"/>
      <c r="G483" s="684"/>
      <c r="H483" s="684"/>
      <c r="I483" s="684"/>
      <c r="J483" s="684"/>
      <c r="K483" s="684"/>
      <c r="L483" s="684"/>
      <c r="M483" s="685"/>
    </row>
    <row r="484" spans="4:13" s="682" customFormat="1" x14ac:dyDescent="0.2">
      <c r="D484" s="683"/>
      <c r="F484" s="684"/>
      <c r="G484" s="684"/>
      <c r="H484" s="684"/>
      <c r="I484" s="684"/>
      <c r="J484" s="684"/>
      <c r="K484" s="684"/>
      <c r="L484" s="684"/>
      <c r="M484" s="685"/>
    </row>
    <row r="485" spans="4:13" s="682" customFormat="1" x14ac:dyDescent="0.2">
      <c r="D485" s="683"/>
      <c r="F485" s="684"/>
      <c r="G485" s="684"/>
      <c r="H485" s="684"/>
      <c r="I485" s="684"/>
      <c r="J485" s="684"/>
      <c r="K485" s="684"/>
      <c r="L485" s="684"/>
      <c r="M485" s="685"/>
    </row>
    <row r="486" spans="4:13" s="682" customFormat="1" x14ac:dyDescent="0.2">
      <c r="D486" s="683"/>
      <c r="F486" s="684"/>
      <c r="G486" s="684"/>
      <c r="H486" s="684"/>
      <c r="I486" s="684"/>
      <c r="J486" s="684"/>
      <c r="K486" s="684"/>
      <c r="L486" s="684"/>
      <c r="M486" s="685"/>
    </row>
    <row r="487" spans="4:13" s="682" customFormat="1" x14ac:dyDescent="0.2">
      <c r="D487" s="683"/>
      <c r="F487" s="684"/>
      <c r="G487" s="684"/>
      <c r="H487" s="684"/>
      <c r="I487" s="684"/>
      <c r="J487" s="684"/>
      <c r="K487" s="684"/>
      <c r="L487" s="684"/>
      <c r="M487" s="685"/>
    </row>
    <row r="488" spans="4:13" s="682" customFormat="1" x14ac:dyDescent="0.2">
      <c r="D488" s="683"/>
      <c r="F488" s="684"/>
      <c r="G488" s="684"/>
      <c r="H488" s="684"/>
      <c r="I488" s="684"/>
      <c r="J488" s="684"/>
      <c r="K488" s="684"/>
      <c r="L488" s="684"/>
      <c r="M488" s="685"/>
    </row>
    <row r="489" spans="4:13" s="682" customFormat="1" x14ac:dyDescent="0.2">
      <c r="D489" s="683"/>
      <c r="F489" s="684"/>
      <c r="G489" s="684"/>
      <c r="H489" s="684"/>
      <c r="I489" s="684"/>
      <c r="J489" s="684"/>
      <c r="K489" s="684"/>
      <c r="L489" s="684"/>
      <c r="M489" s="685"/>
    </row>
    <row r="490" spans="4:13" s="682" customFormat="1" x14ac:dyDescent="0.2">
      <c r="D490" s="683"/>
      <c r="F490" s="684"/>
      <c r="G490" s="684"/>
      <c r="H490" s="684"/>
      <c r="I490" s="684"/>
      <c r="J490" s="684"/>
      <c r="K490" s="684"/>
      <c r="L490" s="684"/>
      <c r="M490" s="685"/>
    </row>
    <row r="491" spans="4:13" s="682" customFormat="1" x14ac:dyDescent="0.2">
      <c r="D491" s="683"/>
      <c r="F491" s="684"/>
      <c r="G491" s="684"/>
      <c r="H491" s="684"/>
      <c r="I491" s="684"/>
      <c r="J491" s="684"/>
      <c r="K491" s="684"/>
      <c r="L491" s="684"/>
      <c r="M491" s="685"/>
    </row>
    <row r="492" spans="4:13" s="682" customFormat="1" x14ac:dyDescent="0.2">
      <c r="D492" s="683"/>
      <c r="F492" s="684"/>
      <c r="G492" s="684"/>
      <c r="H492" s="684"/>
      <c r="I492" s="684"/>
      <c r="J492" s="684"/>
      <c r="K492" s="684"/>
      <c r="L492" s="684"/>
      <c r="M492" s="685"/>
    </row>
    <row r="493" spans="4:13" s="682" customFormat="1" x14ac:dyDescent="0.2">
      <c r="D493" s="683"/>
      <c r="F493" s="684"/>
      <c r="G493" s="684"/>
      <c r="H493" s="684"/>
      <c r="I493" s="684"/>
      <c r="J493" s="684"/>
      <c r="K493" s="684"/>
      <c r="L493" s="684"/>
      <c r="M493" s="685"/>
    </row>
    <row r="494" spans="4:13" s="682" customFormat="1" x14ac:dyDescent="0.2">
      <c r="D494" s="683"/>
      <c r="F494" s="684"/>
      <c r="G494" s="684"/>
      <c r="H494" s="684"/>
      <c r="I494" s="684"/>
      <c r="J494" s="684"/>
      <c r="K494" s="684"/>
      <c r="L494" s="684"/>
      <c r="M494" s="685"/>
    </row>
    <row r="495" spans="4:13" s="682" customFormat="1" x14ac:dyDescent="0.2">
      <c r="D495" s="683"/>
      <c r="F495" s="684"/>
      <c r="G495" s="684"/>
      <c r="H495" s="684"/>
      <c r="I495" s="684"/>
      <c r="J495" s="684"/>
      <c r="K495" s="684"/>
      <c r="L495" s="684"/>
      <c r="M495" s="685"/>
    </row>
    <row r="496" spans="4:13" s="682" customFormat="1" x14ac:dyDescent="0.2">
      <c r="D496" s="683"/>
      <c r="F496" s="684"/>
      <c r="G496" s="684"/>
      <c r="H496" s="684"/>
      <c r="I496" s="684"/>
      <c r="J496" s="684"/>
      <c r="K496" s="684"/>
      <c r="L496" s="684"/>
      <c r="M496" s="685"/>
    </row>
    <row r="497" spans="4:13" s="682" customFormat="1" x14ac:dyDescent="0.2">
      <c r="D497" s="683"/>
      <c r="F497" s="684"/>
      <c r="G497" s="684"/>
      <c r="H497" s="684"/>
      <c r="I497" s="684"/>
      <c r="J497" s="684"/>
      <c r="K497" s="684"/>
      <c r="L497" s="684"/>
      <c r="M497" s="685"/>
    </row>
    <row r="498" spans="4:13" s="682" customFormat="1" x14ac:dyDescent="0.2">
      <c r="D498" s="683"/>
      <c r="F498" s="684"/>
      <c r="G498" s="684"/>
      <c r="H498" s="684"/>
      <c r="I498" s="684"/>
      <c r="J498" s="684"/>
      <c r="K498" s="684"/>
      <c r="L498" s="684"/>
      <c r="M498" s="685"/>
    </row>
    <row r="499" spans="4:13" s="682" customFormat="1" x14ac:dyDescent="0.2">
      <c r="D499" s="683"/>
      <c r="F499" s="684"/>
      <c r="G499" s="684"/>
      <c r="H499" s="684"/>
      <c r="I499" s="684"/>
      <c r="J499" s="684"/>
      <c r="K499" s="684"/>
      <c r="L499" s="684"/>
      <c r="M499" s="685"/>
    </row>
    <row r="500" spans="4:13" s="682" customFormat="1" x14ac:dyDescent="0.2">
      <c r="D500" s="683"/>
      <c r="F500" s="684"/>
      <c r="G500" s="684"/>
      <c r="H500" s="684"/>
      <c r="I500" s="684"/>
      <c r="J500" s="684"/>
      <c r="K500" s="684"/>
      <c r="L500" s="684"/>
      <c r="M500" s="685"/>
    </row>
    <row r="501" spans="4:13" s="682" customFormat="1" x14ac:dyDescent="0.2">
      <c r="D501" s="683"/>
      <c r="F501" s="684"/>
      <c r="G501" s="684"/>
      <c r="H501" s="684"/>
      <c r="I501" s="684"/>
      <c r="J501" s="684"/>
      <c r="K501" s="684"/>
      <c r="L501" s="684"/>
      <c r="M501" s="685"/>
    </row>
    <row r="502" spans="4:13" s="682" customFormat="1" x14ac:dyDescent="0.2">
      <c r="D502" s="683"/>
      <c r="F502" s="684"/>
      <c r="G502" s="684"/>
      <c r="H502" s="684"/>
      <c r="I502" s="684"/>
      <c r="J502" s="684"/>
      <c r="K502" s="684"/>
      <c r="L502" s="684"/>
      <c r="M502" s="685"/>
    </row>
    <row r="503" spans="4:13" s="682" customFormat="1" x14ac:dyDescent="0.2">
      <c r="D503" s="683"/>
      <c r="F503" s="684"/>
      <c r="G503" s="684"/>
      <c r="H503" s="684"/>
      <c r="I503" s="684"/>
      <c r="J503" s="684"/>
      <c r="K503" s="684"/>
      <c r="L503" s="684"/>
      <c r="M503" s="685"/>
    </row>
    <row r="504" spans="4:13" s="682" customFormat="1" x14ac:dyDescent="0.2">
      <c r="D504" s="683"/>
      <c r="F504" s="684"/>
      <c r="G504" s="684"/>
      <c r="H504" s="684"/>
      <c r="I504" s="684"/>
      <c r="J504" s="684"/>
      <c r="K504" s="684"/>
      <c r="L504" s="684"/>
      <c r="M504" s="685"/>
    </row>
    <row r="505" spans="4:13" s="682" customFormat="1" x14ac:dyDescent="0.2">
      <c r="D505" s="683"/>
      <c r="F505" s="684"/>
      <c r="G505" s="684"/>
      <c r="H505" s="684"/>
      <c r="I505" s="684"/>
      <c r="J505" s="684"/>
      <c r="K505" s="684"/>
      <c r="L505" s="684"/>
      <c r="M505" s="685"/>
    </row>
    <row r="506" spans="4:13" s="682" customFormat="1" x14ac:dyDescent="0.2">
      <c r="D506" s="683"/>
      <c r="F506" s="684"/>
      <c r="G506" s="684"/>
      <c r="H506" s="684"/>
      <c r="I506" s="684"/>
      <c r="J506" s="684"/>
      <c r="K506" s="684"/>
      <c r="L506" s="684"/>
      <c r="M506" s="685"/>
    </row>
    <row r="507" spans="4:13" s="682" customFormat="1" x14ac:dyDescent="0.2">
      <c r="D507" s="683"/>
      <c r="F507" s="684"/>
      <c r="G507" s="684"/>
      <c r="H507" s="684"/>
      <c r="I507" s="684"/>
      <c r="J507" s="684"/>
      <c r="K507" s="684"/>
      <c r="L507" s="684"/>
      <c r="M507" s="685"/>
    </row>
    <row r="508" spans="4:13" s="682" customFormat="1" x14ac:dyDescent="0.2">
      <c r="D508" s="683"/>
      <c r="F508" s="684"/>
      <c r="G508" s="684"/>
      <c r="H508" s="684"/>
      <c r="I508" s="684"/>
      <c r="J508" s="684"/>
      <c r="K508" s="684"/>
      <c r="L508" s="684"/>
      <c r="M508" s="685"/>
    </row>
    <row r="509" spans="4:13" s="682" customFormat="1" x14ac:dyDescent="0.2">
      <c r="D509" s="683"/>
      <c r="F509" s="684"/>
      <c r="G509" s="684"/>
      <c r="H509" s="684"/>
      <c r="I509" s="684"/>
      <c r="J509" s="684"/>
      <c r="K509" s="684"/>
      <c r="L509" s="684"/>
      <c r="M509" s="685"/>
    </row>
    <row r="510" spans="4:13" s="682" customFormat="1" x14ac:dyDescent="0.2">
      <c r="D510" s="683"/>
      <c r="F510" s="684"/>
      <c r="G510" s="684"/>
      <c r="H510" s="684"/>
      <c r="I510" s="684"/>
      <c r="J510" s="684"/>
      <c r="K510" s="684"/>
      <c r="L510" s="684"/>
      <c r="M510" s="685"/>
    </row>
    <row r="511" spans="4:13" s="682" customFormat="1" x14ac:dyDescent="0.2">
      <c r="D511" s="683"/>
      <c r="F511" s="684"/>
      <c r="G511" s="684"/>
      <c r="H511" s="684"/>
      <c r="I511" s="684"/>
      <c r="J511" s="684"/>
      <c r="K511" s="684"/>
      <c r="L511" s="684"/>
      <c r="M511" s="685"/>
    </row>
    <row r="512" spans="4:13" s="682" customFormat="1" x14ac:dyDescent="0.2">
      <c r="D512" s="683"/>
      <c r="F512" s="684"/>
      <c r="G512" s="684"/>
      <c r="H512" s="684"/>
      <c r="I512" s="684"/>
      <c r="J512" s="684"/>
      <c r="K512" s="684"/>
      <c r="L512" s="684"/>
      <c r="M512" s="685"/>
    </row>
    <row r="513" spans="4:13" s="682" customFormat="1" x14ac:dyDescent="0.2">
      <c r="D513" s="683"/>
      <c r="F513" s="684"/>
      <c r="G513" s="684"/>
      <c r="H513" s="684"/>
      <c r="I513" s="684"/>
      <c r="J513" s="684"/>
      <c r="K513" s="684"/>
      <c r="L513" s="684"/>
      <c r="M513" s="685"/>
    </row>
    <row r="514" spans="4:13" s="682" customFormat="1" x14ac:dyDescent="0.2">
      <c r="D514" s="683"/>
      <c r="F514" s="684"/>
      <c r="G514" s="684"/>
      <c r="H514" s="684"/>
      <c r="I514" s="684"/>
      <c r="J514" s="684"/>
      <c r="K514" s="684"/>
      <c r="L514" s="684"/>
      <c r="M514" s="685"/>
    </row>
    <row r="515" spans="4:13" s="682" customFormat="1" x14ac:dyDescent="0.2">
      <c r="D515" s="683"/>
      <c r="F515" s="684"/>
      <c r="G515" s="684"/>
      <c r="H515" s="684"/>
      <c r="I515" s="684"/>
      <c r="J515" s="684"/>
      <c r="K515" s="684"/>
      <c r="L515" s="684"/>
      <c r="M515" s="685"/>
    </row>
    <row r="516" spans="4:13" s="682" customFormat="1" x14ac:dyDescent="0.2">
      <c r="D516" s="683"/>
      <c r="F516" s="684"/>
      <c r="G516" s="684"/>
      <c r="H516" s="684"/>
      <c r="I516" s="684"/>
      <c r="J516" s="684"/>
      <c r="K516" s="684"/>
      <c r="L516" s="684"/>
      <c r="M516" s="685"/>
    </row>
    <row r="517" spans="4:13" s="682" customFormat="1" x14ac:dyDescent="0.2">
      <c r="D517" s="683"/>
      <c r="F517" s="684"/>
      <c r="G517" s="684"/>
      <c r="H517" s="684"/>
      <c r="I517" s="684"/>
      <c r="J517" s="684"/>
      <c r="K517" s="684"/>
      <c r="L517" s="684"/>
      <c r="M517" s="685"/>
    </row>
    <row r="518" spans="4:13" s="682" customFormat="1" x14ac:dyDescent="0.2">
      <c r="D518" s="683"/>
      <c r="F518" s="684"/>
      <c r="G518" s="684"/>
      <c r="H518" s="684"/>
      <c r="I518" s="684"/>
      <c r="J518" s="684"/>
      <c r="K518" s="684"/>
      <c r="L518" s="684"/>
      <c r="M518" s="685"/>
    </row>
    <row r="519" spans="4:13" s="682" customFormat="1" x14ac:dyDescent="0.2">
      <c r="D519" s="683"/>
      <c r="F519" s="684"/>
      <c r="G519" s="684"/>
      <c r="H519" s="684"/>
      <c r="I519" s="684"/>
      <c r="J519" s="684"/>
      <c r="K519" s="684"/>
      <c r="L519" s="684"/>
      <c r="M519" s="685"/>
    </row>
    <row r="520" spans="4:13" s="682" customFormat="1" x14ac:dyDescent="0.2">
      <c r="D520" s="683"/>
      <c r="F520" s="684"/>
      <c r="G520" s="684"/>
      <c r="H520" s="684"/>
      <c r="I520" s="684"/>
      <c r="J520" s="684"/>
      <c r="K520" s="684"/>
      <c r="L520" s="684"/>
      <c r="M520" s="685"/>
    </row>
    <row r="521" spans="4:13" s="682" customFormat="1" x14ac:dyDescent="0.2">
      <c r="D521" s="683"/>
      <c r="F521" s="684"/>
      <c r="G521" s="684"/>
      <c r="H521" s="684"/>
      <c r="I521" s="684"/>
      <c r="J521" s="684"/>
      <c r="K521" s="684"/>
      <c r="L521" s="684"/>
      <c r="M521" s="685"/>
    </row>
    <row r="522" spans="4:13" s="682" customFormat="1" x14ac:dyDescent="0.2">
      <c r="D522" s="683"/>
      <c r="F522" s="684"/>
      <c r="G522" s="684"/>
      <c r="H522" s="684"/>
      <c r="I522" s="684"/>
      <c r="J522" s="684"/>
      <c r="K522" s="684"/>
      <c r="L522" s="684"/>
      <c r="M522" s="685"/>
    </row>
    <row r="523" spans="4:13" s="682" customFormat="1" x14ac:dyDescent="0.2">
      <c r="D523" s="683"/>
      <c r="F523" s="684"/>
      <c r="G523" s="684"/>
      <c r="H523" s="684"/>
      <c r="I523" s="684"/>
      <c r="J523" s="684"/>
      <c r="K523" s="684"/>
      <c r="L523" s="684"/>
      <c r="M523" s="685"/>
    </row>
    <row r="524" spans="4:13" s="682" customFormat="1" x14ac:dyDescent="0.2">
      <c r="D524" s="683"/>
      <c r="F524" s="684"/>
      <c r="G524" s="684"/>
      <c r="H524" s="684"/>
      <c r="I524" s="684"/>
      <c r="J524" s="684"/>
      <c r="K524" s="684"/>
      <c r="L524" s="684"/>
      <c r="M524" s="685"/>
    </row>
    <row r="525" spans="4:13" s="682" customFormat="1" x14ac:dyDescent="0.2">
      <c r="D525" s="683"/>
      <c r="F525" s="684"/>
      <c r="G525" s="684"/>
      <c r="H525" s="684"/>
      <c r="I525" s="684"/>
      <c r="J525" s="684"/>
      <c r="K525" s="684"/>
      <c r="L525" s="684"/>
      <c r="M525" s="685"/>
    </row>
    <row r="526" spans="4:13" s="682" customFormat="1" x14ac:dyDescent="0.2">
      <c r="D526" s="683"/>
      <c r="F526" s="684"/>
      <c r="G526" s="684"/>
      <c r="H526" s="684"/>
      <c r="I526" s="684"/>
      <c r="J526" s="684"/>
      <c r="K526" s="684"/>
      <c r="L526" s="684"/>
      <c r="M526" s="685"/>
    </row>
    <row r="527" spans="4:13" s="682" customFormat="1" x14ac:dyDescent="0.2">
      <c r="D527" s="683"/>
      <c r="F527" s="684"/>
      <c r="G527" s="684"/>
      <c r="H527" s="684"/>
      <c r="I527" s="684"/>
      <c r="J527" s="684"/>
      <c r="K527" s="684"/>
      <c r="L527" s="684"/>
      <c r="M527" s="685"/>
    </row>
    <row r="528" spans="4:13" s="682" customFormat="1" x14ac:dyDescent="0.2">
      <c r="D528" s="683"/>
      <c r="F528" s="684"/>
      <c r="G528" s="684"/>
      <c r="H528" s="684"/>
      <c r="I528" s="684"/>
      <c r="J528" s="684"/>
      <c r="K528" s="684"/>
      <c r="L528" s="684"/>
      <c r="M528" s="685"/>
    </row>
    <row r="529" spans="4:13" s="682" customFormat="1" x14ac:dyDescent="0.2">
      <c r="D529" s="683"/>
      <c r="F529" s="684"/>
      <c r="G529" s="684"/>
      <c r="H529" s="684"/>
      <c r="I529" s="684"/>
      <c r="J529" s="684"/>
      <c r="K529" s="684"/>
      <c r="L529" s="684"/>
      <c r="M529" s="685"/>
    </row>
    <row r="530" spans="4:13" s="682" customFormat="1" x14ac:dyDescent="0.2">
      <c r="D530" s="683"/>
      <c r="F530" s="684"/>
      <c r="G530" s="684"/>
      <c r="H530" s="684"/>
      <c r="I530" s="684"/>
      <c r="J530" s="684"/>
      <c r="K530" s="684"/>
      <c r="L530" s="684"/>
      <c r="M530" s="685"/>
    </row>
    <row r="531" spans="4:13" s="682" customFormat="1" x14ac:dyDescent="0.2">
      <c r="D531" s="683"/>
      <c r="F531" s="684"/>
      <c r="G531" s="684"/>
      <c r="H531" s="684"/>
      <c r="I531" s="684"/>
      <c r="J531" s="684"/>
      <c r="K531" s="684"/>
      <c r="L531" s="684"/>
      <c r="M531" s="685"/>
    </row>
    <row r="532" spans="4:13" s="682" customFormat="1" x14ac:dyDescent="0.2">
      <c r="D532" s="683"/>
      <c r="F532" s="684"/>
      <c r="G532" s="684"/>
      <c r="H532" s="684"/>
      <c r="I532" s="684"/>
      <c r="J532" s="684"/>
      <c r="K532" s="684"/>
      <c r="L532" s="684"/>
      <c r="M532" s="685"/>
    </row>
    <row r="533" spans="4:13" s="682" customFormat="1" x14ac:dyDescent="0.2">
      <c r="D533" s="683"/>
      <c r="F533" s="684"/>
      <c r="G533" s="684"/>
      <c r="H533" s="684"/>
      <c r="I533" s="684"/>
      <c r="J533" s="684"/>
      <c r="K533" s="684"/>
      <c r="L533" s="684"/>
      <c r="M533" s="685"/>
    </row>
    <row r="534" spans="4:13" s="682" customFormat="1" x14ac:dyDescent="0.2">
      <c r="D534" s="683"/>
      <c r="F534" s="684"/>
      <c r="G534" s="684"/>
      <c r="H534" s="684"/>
      <c r="I534" s="684"/>
      <c r="J534" s="684"/>
      <c r="K534" s="684"/>
      <c r="L534" s="684"/>
      <c r="M534" s="685"/>
    </row>
    <row r="535" spans="4:13" s="682" customFormat="1" x14ac:dyDescent="0.2">
      <c r="D535" s="683"/>
      <c r="F535" s="684"/>
      <c r="G535" s="684"/>
      <c r="H535" s="684"/>
      <c r="I535" s="684"/>
      <c r="J535" s="684"/>
      <c r="K535" s="684"/>
      <c r="L535" s="684"/>
      <c r="M535" s="685"/>
    </row>
    <row r="536" spans="4:13" s="682" customFormat="1" x14ac:dyDescent="0.2">
      <c r="D536" s="683"/>
      <c r="F536" s="684"/>
      <c r="G536" s="684"/>
      <c r="H536" s="684"/>
      <c r="I536" s="684"/>
      <c r="J536" s="684"/>
      <c r="K536" s="684"/>
      <c r="L536" s="684"/>
      <c r="M536" s="685"/>
    </row>
    <row r="537" spans="4:13" s="682" customFormat="1" x14ac:dyDescent="0.2">
      <c r="D537" s="683"/>
      <c r="F537" s="684"/>
      <c r="G537" s="684"/>
      <c r="H537" s="684"/>
      <c r="I537" s="684"/>
      <c r="J537" s="684"/>
      <c r="K537" s="684"/>
      <c r="L537" s="684"/>
      <c r="M537" s="685"/>
    </row>
    <row r="538" spans="4:13" s="682" customFormat="1" x14ac:dyDescent="0.2">
      <c r="D538" s="683"/>
      <c r="F538" s="684"/>
      <c r="G538" s="684"/>
      <c r="H538" s="684"/>
      <c r="I538" s="684"/>
      <c r="J538" s="684"/>
      <c r="K538" s="684"/>
      <c r="L538" s="684"/>
      <c r="M538" s="685"/>
    </row>
    <row r="539" spans="4:13" s="682" customFormat="1" x14ac:dyDescent="0.2">
      <c r="D539" s="683"/>
      <c r="F539" s="684"/>
      <c r="G539" s="684"/>
      <c r="H539" s="684"/>
      <c r="I539" s="684"/>
      <c r="J539" s="684"/>
      <c r="K539" s="684"/>
      <c r="L539" s="684"/>
      <c r="M539" s="685"/>
    </row>
    <row r="540" spans="4:13" s="682" customFormat="1" x14ac:dyDescent="0.2">
      <c r="D540" s="683"/>
      <c r="F540" s="684"/>
      <c r="G540" s="684"/>
      <c r="H540" s="684"/>
      <c r="I540" s="684"/>
      <c r="J540" s="684"/>
      <c r="K540" s="684"/>
      <c r="L540" s="684"/>
      <c r="M540" s="685"/>
    </row>
    <row r="541" spans="4:13" s="682" customFormat="1" x14ac:dyDescent="0.2">
      <c r="D541" s="683"/>
      <c r="F541" s="684"/>
      <c r="G541" s="684"/>
      <c r="H541" s="684"/>
      <c r="I541" s="684"/>
      <c r="J541" s="684"/>
      <c r="K541" s="684"/>
      <c r="L541" s="684"/>
      <c r="M541" s="685"/>
    </row>
    <row r="542" spans="4:13" s="682" customFormat="1" x14ac:dyDescent="0.2">
      <c r="D542" s="683"/>
      <c r="F542" s="684"/>
      <c r="G542" s="684"/>
      <c r="H542" s="684"/>
      <c r="I542" s="684"/>
      <c r="J542" s="684"/>
      <c r="K542" s="684"/>
      <c r="L542" s="684"/>
      <c r="M542" s="685"/>
    </row>
    <row r="543" spans="4:13" s="682" customFormat="1" x14ac:dyDescent="0.2">
      <c r="D543" s="683"/>
      <c r="F543" s="684"/>
      <c r="G543" s="684"/>
      <c r="H543" s="684"/>
      <c r="I543" s="684"/>
      <c r="J543" s="684"/>
      <c r="K543" s="684"/>
      <c r="L543" s="684"/>
      <c r="M543" s="685"/>
    </row>
    <row r="544" spans="4:13" s="682" customFormat="1" x14ac:dyDescent="0.2">
      <c r="D544" s="683"/>
      <c r="F544" s="684"/>
      <c r="G544" s="684"/>
      <c r="H544" s="684"/>
      <c r="I544" s="684"/>
      <c r="J544" s="684"/>
      <c r="K544" s="684"/>
      <c r="L544" s="684"/>
      <c r="M544" s="685"/>
    </row>
    <row r="545" spans="4:13" s="682" customFormat="1" x14ac:dyDescent="0.2">
      <c r="D545" s="683"/>
      <c r="F545" s="684"/>
      <c r="G545" s="684"/>
      <c r="H545" s="684"/>
      <c r="I545" s="684"/>
      <c r="J545" s="684"/>
      <c r="K545" s="684"/>
      <c r="L545" s="684"/>
      <c r="M545" s="685"/>
    </row>
    <row r="546" spans="4:13" s="682" customFormat="1" x14ac:dyDescent="0.2">
      <c r="D546" s="683"/>
      <c r="F546" s="684"/>
      <c r="G546" s="684"/>
      <c r="H546" s="684"/>
      <c r="I546" s="684"/>
      <c r="J546" s="684"/>
      <c r="K546" s="684"/>
      <c r="L546" s="684"/>
      <c r="M546" s="685"/>
    </row>
    <row r="547" spans="4:13" s="682" customFormat="1" x14ac:dyDescent="0.2">
      <c r="D547" s="683"/>
      <c r="F547" s="684"/>
      <c r="G547" s="684"/>
      <c r="H547" s="684"/>
      <c r="I547" s="684"/>
      <c r="J547" s="684"/>
      <c r="K547" s="684"/>
      <c r="L547" s="684"/>
      <c r="M547" s="685"/>
    </row>
    <row r="548" spans="4:13" s="682" customFormat="1" x14ac:dyDescent="0.2">
      <c r="D548" s="683"/>
      <c r="F548" s="684"/>
      <c r="G548" s="684"/>
      <c r="H548" s="684"/>
      <c r="I548" s="684"/>
      <c r="J548" s="684"/>
      <c r="K548" s="684"/>
      <c r="L548" s="684"/>
      <c r="M548" s="685"/>
    </row>
    <row r="549" spans="4:13" s="682" customFormat="1" x14ac:dyDescent="0.2">
      <c r="D549" s="683"/>
      <c r="F549" s="684"/>
      <c r="G549" s="684"/>
      <c r="H549" s="684"/>
      <c r="I549" s="684"/>
      <c r="J549" s="684"/>
      <c r="K549" s="684"/>
      <c r="L549" s="684"/>
      <c r="M549" s="685"/>
    </row>
    <row r="550" spans="4:13" s="682" customFormat="1" x14ac:dyDescent="0.2">
      <c r="D550" s="683"/>
      <c r="F550" s="684"/>
      <c r="G550" s="684"/>
      <c r="H550" s="684"/>
      <c r="I550" s="684"/>
      <c r="J550" s="684"/>
      <c r="K550" s="684"/>
      <c r="L550" s="684"/>
      <c r="M550" s="685"/>
    </row>
    <row r="551" spans="4:13" s="682" customFormat="1" x14ac:dyDescent="0.2">
      <c r="D551" s="683"/>
      <c r="F551" s="684"/>
      <c r="G551" s="684"/>
      <c r="H551" s="684"/>
      <c r="I551" s="684"/>
      <c r="J551" s="684"/>
      <c r="K551" s="684"/>
      <c r="L551" s="684"/>
      <c r="M551" s="685"/>
    </row>
    <row r="552" spans="4:13" s="682" customFormat="1" x14ac:dyDescent="0.2">
      <c r="D552" s="683"/>
      <c r="F552" s="684"/>
      <c r="G552" s="684"/>
      <c r="H552" s="684"/>
      <c r="I552" s="684"/>
      <c r="J552" s="684"/>
      <c r="K552" s="684"/>
      <c r="L552" s="684"/>
      <c r="M552" s="685"/>
    </row>
    <row r="553" spans="4:13" s="682" customFormat="1" x14ac:dyDescent="0.2">
      <c r="D553" s="683"/>
      <c r="F553" s="684"/>
      <c r="G553" s="684"/>
      <c r="H553" s="684"/>
      <c r="I553" s="684"/>
      <c r="J553" s="684"/>
      <c r="K553" s="684"/>
      <c r="L553" s="684"/>
      <c r="M553" s="685"/>
    </row>
    <row r="554" spans="4:13" s="682" customFormat="1" x14ac:dyDescent="0.2">
      <c r="D554" s="683"/>
      <c r="F554" s="684"/>
      <c r="G554" s="684"/>
      <c r="H554" s="684"/>
      <c r="I554" s="684"/>
      <c r="J554" s="684"/>
      <c r="K554" s="684"/>
      <c r="L554" s="684"/>
      <c r="M554" s="685"/>
    </row>
    <row r="555" spans="4:13" s="682" customFormat="1" x14ac:dyDescent="0.2">
      <c r="D555" s="683"/>
      <c r="F555" s="684"/>
      <c r="G555" s="684"/>
      <c r="H555" s="684"/>
      <c r="I555" s="684"/>
      <c r="J555" s="684"/>
      <c r="K555" s="684"/>
      <c r="L555" s="684"/>
      <c r="M555" s="685"/>
    </row>
    <row r="556" spans="4:13" s="682" customFormat="1" x14ac:dyDescent="0.2">
      <c r="D556" s="683"/>
      <c r="F556" s="684"/>
      <c r="G556" s="684"/>
      <c r="H556" s="684"/>
      <c r="I556" s="684"/>
      <c r="J556" s="684"/>
      <c r="K556" s="684"/>
      <c r="L556" s="684"/>
      <c r="M556" s="685"/>
    </row>
    <row r="557" spans="4:13" s="682" customFormat="1" x14ac:dyDescent="0.2">
      <c r="D557" s="683"/>
      <c r="F557" s="684"/>
      <c r="G557" s="684"/>
      <c r="H557" s="684"/>
      <c r="I557" s="684"/>
      <c r="J557" s="684"/>
      <c r="K557" s="684"/>
      <c r="L557" s="684"/>
      <c r="M557" s="685"/>
    </row>
    <row r="558" spans="4:13" s="682" customFormat="1" x14ac:dyDescent="0.2">
      <c r="D558" s="683"/>
      <c r="F558" s="684"/>
      <c r="G558" s="684"/>
      <c r="H558" s="684"/>
      <c r="I558" s="684"/>
      <c r="J558" s="684"/>
      <c r="K558" s="684"/>
      <c r="L558" s="684"/>
      <c r="M558" s="685"/>
    </row>
    <row r="559" spans="4:13" s="682" customFormat="1" x14ac:dyDescent="0.2">
      <c r="D559" s="683"/>
      <c r="F559" s="684"/>
      <c r="G559" s="684"/>
      <c r="H559" s="684"/>
      <c r="I559" s="684"/>
      <c r="J559" s="684"/>
      <c r="K559" s="684"/>
      <c r="L559" s="684"/>
      <c r="M559" s="685"/>
    </row>
    <row r="560" spans="4:13" s="682" customFormat="1" x14ac:dyDescent="0.2">
      <c r="D560" s="683"/>
      <c r="F560" s="684"/>
      <c r="G560" s="684"/>
      <c r="H560" s="684"/>
      <c r="I560" s="684"/>
      <c r="J560" s="684"/>
      <c r="K560" s="684"/>
      <c r="L560" s="684"/>
      <c r="M560" s="685"/>
    </row>
    <row r="561" spans="4:13" s="682" customFormat="1" x14ac:dyDescent="0.2">
      <c r="D561" s="683"/>
      <c r="F561" s="684"/>
      <c r="G561" s="684"/>
      <c r="H561" s="684"/>
      <c r="I561" s="684"/>
      <c r="J561" s="684"/>
      <c r="K561" s="684"/>
      <c r="L561" s="684"/>
      <c r="M561" s="685"/>
    </row>
    <row r="562" spans="4:13" s="682" customFormat="1" x14ac:dyDescent="0.2">
      <c r="D562" s="683"/>
      <c r="F562" s="684"/>
      <c r="G562" s="684"/>
      <c r="H562" s="684"/>
      <c r="I562" s="684"/>
      <c r="J562" s="684"/>
      <c r="K562" s="684"/>
      <c r="L562" s="684"/>
      <c r="M562" s="685"/>
    </row>
    <row r="563" spans="4:13" s="682" customFormat="1" x14ac:dyDescent="0.2">
      <c r="D563" s="683"/>
      <c r="F563" s="684"/>
      <c r="G563" s="684"/>
      <c r="H563" s="684"/>
      <c r="I563" s="684"/>
      <c r="J563" s="684"/>
      <c r="K563" s="684"/>
      <c r="L563" s="684"/>
      <c r="M563" s="685"/>
    </row>
    <row r="564" spans="4:13" s="682" customFormat="1" x14ac:dyDescent="0.2">
      <c r="D564" s="683"/>
      <c r="F564" s="684"/>
      <c r="G564" s="684"/>
      <c r="H564" s="684"/>
      <c r="I564" s="684"/>
      <c r="J564" s="684"/>
      <c r="K564" s="684"/>
      <c r="L564" s="684"/>
      <c r="M564" s="685"/>
    </row>
    <row r="565" spans="4:13" s="682" customFormat="1" x14ac:dyDescent="0.2">
      <c r="D565" s="683"/>
      <c r="F565" s="684"/>
      <c r="G565" s="684"/>
      <c r="H565" s="684"/>
      <c r="I565" s="684"/>
      <c r="J565" s="684"/>
      <c r="K565" s="684"/>
      <c r="L565" s="684"/>
      <c r="M565" s="685"/>
    </row>
    <row r="566" spans="4:13" s="682" customFormat="1" x14ac:dyDescent="0.2">
      <c r="D566" s="683"/>
      <c r="F566" s="684"/>
      <c r="G566" s="684"/>
      <c r="H566" s="684"/>
      <c r="I566" s="684"/>
      <c r="J566" s="684"/>
      <c r="K566" s="684"/>
      <c r="L566" s="684"/>
      <c r="M566" s="685"/>
    </row>
    <row r="567" spans="4:13" s="682" customFormat="1" x14ac:dyDescent="0.2">
      <c r="D567" s="683"/>
      <c r="F567" s="684"/>
      <c r="G567" s="684"/>
      <c r="H567" s="684"/>
      <c r="I567" s="684"/>
      <c r="J567" s="684"/>
      <c r="K567" s="684"/>
      <c r="L567" s="684"/>
      <c r="M567" s="685"/>
    </row>
    <row r="568" spans="4:13" s="682" customFormat="1" x14ac:dyDescent="0.2">
      <c r="D568" s="683"/>
      <c r="F568" s="684"/>
      <c r="G568" s="684"/>
      <c r="H568" s="684"/>
      <c r="I568" s="684"/>
      <c r="J568" s="684"/>
      <c r="K568" s="684"/>
      <c r="L568" s="684"/>
      <c r="M568" s="685"/>
    </row>
    <row r="569" spans="4:13" s="682" customFormat="1" x14ac:dyDescent="0.2">
      <c r="D569" s="683"/>
      <c r="F569" s="684"/>
      <c r="G569" s="684"/>
      <c r="H569" s="684"/>
      <c r="I569" s="684"/>
      <c r="J569" s="684"/>
      <c r="K569" s="684"/>
      <c r="L569" s="684"/>
      <c r="M569" s="685"/>
    </row>
    <row r="570" spans="4:13" s="682" customFormat="1" x14ac:dyDescent="0.2">
      <c r="D570" s="683"/>
      <c r="F570" s="684"/>
      <c r="G570" s="684"/>
      <c r="H570" s="684"/>
      <c r="I570" s="684"/>
      <c r="J570" s="684"/>
      <c r="K570" s="684"/>
      <c r="L570" s="684"/>
      <c r="M570" s="685"/>
    </row>
    <row r="571" spans="4:13" s="682" customFormat="1" x14ac:dyDescent="0.2">
      <c r="D571" s="683"/>
      <c r="F571" s="684"/>
      <c r="G571" s="684"/>
      <c r="H571" s="684"/>
      <c r="I571" s="684"/>
      <c r="J571" s="684"/>
      <c r="K571" s="684"/>
      <c r="L571" s="684"/>
      <c r="M571" s="685"/>
    </row>
    <row r="572" spans="4:13" s="682" customFormat="1" x14ac:dyDescent="0.2">
      <c r="D572" s="683"/>
      <c r="F572" s="684"/>
      <c r="G572" s="684"/>
      <c r="H572" s="684"/>
      <c r="I572" s="684"/>
      <c r="J572" s="684"/>
      <c r="K572" s="684"/>
      <c r="L572" s="684"/>
      <c r="M572" s="685"/>
    </row>
    <row r="573" spans="4:13" s="682" customFormat="1" x14ac:dyDescent="0.2">
      <c r="D573" s="683"/>
      <c r="F573" s="684"/>
      <c r="G573" s="684"/>
      <c r="H573" s="684"/>
      <c r="I573" s="684"/>
      <c r="J573" s="684"/>
      <c r="K573" s="684"/>
      <c r="L573" s="684"/>
      <c r="M573" s="685"/>
    </row>
    <row r="574" spans="4:13" s="682" customFormat="1" x14ac:dyDescent="0.2">
      <c r="D574" s="683"/>
      <c r="F574" s="684"/>
      <c r="G574" s="684"/>
      <c r="H574" s="684"/>
      <c r="I574" s="684"/>
      <c r="J574" s="684"/>
      <c r="K574" s="684"/>
      <c r="L574" s="684"/>
      <c r="M574" s="685"/>
    </row>
    <row r="575" spans="4:13" s="682" customFormat="1" x14ac:dyDescent="0.2">
      <c r="D575" s="683"/>
      <c r="F575" s="684"/>
      <c r="G575" s="684"/>
      <c r="H575" s="684"/>
      <c r="I575" s="684"/>
      <c r="J575" s="684"/>
      <c r="K575" s="684"/>
      <c r="L575" s="684"/>
      <c r="M575" s="685"/>
    </row>
    <row r="576" spans="4:13" s="682" customFormat="1" x14ac:dyDescent="0.2">
      <c r="D576" s="683"/>
      <c r="F576" s="684"/>
      <c r="G576" s="684"/>
      <c r="H576" s="684"/>
      <c r="I576" s="684"/>
      <c r="J576" s="684"/>
      <c r="K576" s="684"/>
      <c r="L576" s="684"/>
      <c r="M576" s="685"/>
    </row>
    <row r="577" spans="4:13" s="682" customFormat="1" x14ac:dyDescent="0.2">
      <c r="D577" s="683"/>
      <c r="F577" s="684"/>
      <c r="G577" s="684"/>
      <c r="H577" s="684"/>
      <c r="I577" s="684"/>
      <c r="J577" s="684"/>
      <c r="K577" s="684"/>
      <c r="L577" s="684"/>
      <c r="M577" s="685"/>
    </row>
    <row r="578" spans="4:13" s="682" customFormat="1" x14ac:dyDescent="0.2">
      <c r="D578" s="683"/>
      <c r="F578" s="684"/>
      <c r="G578" s="684"/>
      <c r="H578" s="684"/>
      <c r="I578" s="684"/>
      <c r="J578" s="684"/>
      <c r="K578" s="684"/>
      <c r="L578" s="684"/>
      <c r="M578" s="685"/>
    </row>
    <row r="579" spans="4:13" s="682" customFormat="1" x14ac:dyDescent="0.2">
      <c r="D579" s="683"/>
      <c r="F579" s="684"/>
      <c r="G579" s="684"/>
      <c r="H579" s="684"/>
      <c r="I579" s="684"/>
      <c r="J579" s="684"/>
      <c r="K579" s="684"/>
      <c r="L579" s="684"/>
      <c r="M579" s="685"/>
    </row>
    <row r="580" spans="4:13" s="682" customFormat="1" x14ac:dyDescent="0.2">
      <c r="D580" s="683"/>
      <c r="F580" s="684"/>
      <c r="G580" s="684"/>
      <c r="H580" s="684"/>
      <c r="I580" s="684"/>
      <c r="J580" s="684"/>
      <c r="K580" s="684"/>
      <c r="L580" s="684"/>
      <c r="M580" s="685"/>
    </row>
    <row r="581" spans="4:13" s="682" customFormat="1" x14ac:dyDescent="0.2">
      <c r="D581" s="683"/>
      <c r="F581" s="684"/>
      <c r="G581" s="684"/>
      <c r="H581" s="684"/>
      <c r="I581" s="684"/>
      <c r="J581" s="684"/>
      <c r="K581" s="684"/>
      <c r="L581" s="684"/>
      <c r="M581" s="685"/>
    </row>
    <row r="582" spans="4:13" s="682" customFormat="1" x14ac:dyDescent="0.2">
      <c r="D582" s="683"/>
      <c r="F582" s="684"/>
      <c r="G582" s="684"/>
      <c r="H582" s="684"/>
      <c r="I582" s="684"/>
      <c r="J582" s="684"/>
      <c r="K582" s="684"/>
      <c r="L582" s="684"/>
      <c r="M582" s="685"/>
    </row>
    <row r="583" spans="4:13" s="682" customFormat="1" x14ac:dyDescent="0.2">
      <c r="D583" s="683"/>
      <c r="F583" s="684"/>
      <c r="G583" s="684"/>
      <c r="H583" s="684"/>
      <c r="I583" s="684"/>
      <c r="J583" s="684"/>
      <c r="K583" s="684"/>
      <c r="L583" s="684"/>
      <c r="M583" s="685"/>
    </row>
    <row r="584" spans="4:13" s="682" customFormat="1" x14ac:dyDescent="0.2">
      <c r="D584" s="683"/>
      <c r="F584" s="684"/>
      <c r="G584" s="684"/>
      <c r="H584" s="684"/>
      <c r="I584" s="684"/>
      <c r="J584" s="684"/>
      <c r="K584" s="684"/>
      <c r="L584" s="684"/>
      <c r="M584" s="685"/>
    </row>
    <row r="585" spans="4:13" s="682" customFormat="1" x14ac:dyDescent="0.2">
      <c r="D585" s="683"/>
      <c r="F585" s="684"/>
      <c r="G585" s="684"/>
      <c r="H585" s="684"/>
      <c r="I585" s="684"/>
      <c r="J585" s="684"/>
      <c r="K585" s="684"/>
      <c r="L585" s="684"/>
      <c r="M585" s="685"/>
    </row>
    <row r="586" spans="4:13" s="682" customFormat="1" x14ac:dyDescent="0.2">
      <c r="D586" s="683"/>
      <c r="F586" s="684"/>
      <c r="G586" s="684"/>
      <c r="H586" s="684"/>
      <c r="I586" s="684"/>
      <c r="J586" s="684"/>
      <c r="K586" s="684"/>
      <c r="L586" s="684"/>
      <c r="M586" s="685"/>
    </row>
    <row r="587" spans="4:13" s="682" customFormat="1" x14ac:dyDescent="0.2">
      <c r="D587" s="683"/>
      <c r="F587" s="684"/>
      <c r="G587" s="684"/>
      <c r="H587" s="684"/>
      <c r="I587" s="684"/>
      <c r="J587" s="684"/>
      <c r="K587" s="684"/>
      <c r="L587" s="684"/>
      <c r="M587" s="685"/>
    </row>
    <row r="588" spans="4:13" s="682" customFormat="1" x14ac:dyDescent="0.2">
      <c r="D588" s="683"/>
      <c r="F588" s="684"/>
      <c r="G588" s="684"/>
      <c r="H588" s="684"/>
      <c r="I588" s="684"/>
      <c r="J588" s="684"/>
      <c r="K588" s="684"/>
      <c r="L588" s="684"/>
      <c r="M588" s="685"/>
    </row>
    <row r="589" spans="4:13" s="682" customFormat="1" x14ac:dyDescent="0.2">
      <c r="D589" s="683"/>
      <c r="F589" s="684"/>
      <c r="G589" s="684"/>
      <c r="H589" s="684"/>
      <c r="I589" s="684"/>
      <c r="J589" s="684"/>
      <c r="K589" s="684"/>
      <c r="L589" s="684"/>
      <c r="M589" s="685"/>
    </row>
    <row r="590" spans="4:13" s="682" customFormat="1" x14ac:dyDescent="0.2">
      <c r="D590" s="683"/>
      <c r="F590" s="684"/>
      <c r="G590" s="684"/>
      <c r="H590" s="684"/>
      <c r="I590" s="684"/>
      <c r="J590" s="684"/>
      <c r="K590" s="684"/>
      <c r="L590" s="684"/>
      <c r="M590" s="685"/>
    </row>
    <row r="591" spans="4:13" s="682" customFormat="1" x14ac:dyDescent="0.2">
      <c r="D591" s="683"/>
      <c r="F591" s="684"/>
      <c r="G591" s="684"/>
      <c r="H591" s="684"/>
      <c r="I591" s="684"/>
      <c r="J591" s="684"/>
      <c r="K591" s="684"/>
      <c r="L591" s="684"/>
      <c r="M591" s="685"/>
    </row>
    <row r="592" spans="4:13" s="682" customFormat="1" x14ac:dyDescent="0.2">
      <c r="D592" s="683"/>
      <c r="F592" s="684"/>
      <c r="G592" s="684"/>
      <c r="H592" s="684"/>
      <c r="I592" s="684"/>
      <c r="J592" s="684"/>
      <c r="K592" s="684"/>
      <c r="L592" s="684"/>
      <c r="M592" s="685"/>
    </row>
    <row r="593" spans="4:13" s="682" customFormat="1" x14ac:dyDescent="0.2">
      <c r="D593" s="683"/>
      <c r="F593" s="684"/>
      <c r="G593" s="684"/>
      <c r="H593" s="684"/>
      <c r="I593" s="684"/>
      <c r="J593" s="684"/>
      <c r="K593" s="684"/>
      <c r="L593" s="684"/>
      <c r="M593" s="685"/>
    </row>
    <row r="594" spans="4:13" s="682" customFormat="1" x14ac:dyDescent="0.2">
      <c r="D594" s="683"/>
      <c r="F594" s="684"/>
      <c r="G594" s="684"/>
      <c r="H594" s="684"/>
      <c r="I594" s="684"/>
      <c r="J594" s="684"/>
      <c r="K594" s="684"/>
      <c r="L594" s="684"/>
      <c r="M594" s="685"/>
    </row>
    <row r="595" spans="4:13" s="682" customFormat="1" x14ac:dyDescent="0.2">
      <c r="D595" s="683"/>
      <c r="F595" s="684"/>
      <c r="G595" s="684"/>
      <c r="H595" s="684"/>
      <c r="I595" s="684"/>
      <c r="J595" s="684"/>
      <c r="K595" s="684"/>
      <c r="L595" s="684"/>
      <c r="M595" s="685"/>
    </row>
    <row r="596" spans="4:13" s="682" customFormat="1" x14ac:dyDescent="0.2">
      <c r="D596" s="683"/>
      <c r="F596" s="684"/>
      <c r="G596" s="684"/>
      <c r="H596" s="684"/>
      <c r="I596" s="684"/>
      <c r="J596" s="684"/>
      <c r="K596" s="684"/>
      <c r="L596" s="684"/>
      <c r="M596" s="685"/>
    </row>
    <row r="597" spans="4:13" s="682" customFormat="1" x14ac:dyDescent="0.2">
      <c r="D597" s="683"/>
      <c r="F597" s="684"/>
      <c r="G597" s="684"/>
      <c r="H597" s="684"/>
      <c r="I597" s="684"/>
      <c r="J597" s="684"/>
      <c r="K597" s="684"/>
      <c r="L597" s="684"/>
      <c r="M597" s="685"/>
    </row>
    <row r="598" spans="4:13" s="682" customFormat="1" x14ac:dyDescent="0.2">
      <c r="D598" s="683"/>
      <c r="F598" s="684"/>
      <c r="G598" s="684"/>
      <c r="H598" s="684"/>
      <c r="I598" s="684"/>
      <c r="J598" s="684"/>
      <c r="K598" s="684"/>
      <c r="L598" s="684"/>
      <c r="M598" s="685"/>
    </row>
    <row r="599" spans="4:13" s="682" customFormat="1" x14ac:dyDescent="0.2">
      <c r="D599" s="683"/>
      <c r="F599" s="684"/>
      <c r="G599" s="684"/>
      <c r="H599" s="684"/>
      <c r="I599" s="684"/>
      <c r="J599" s="684"/>
      <c r="K599" s="684"/>
      <c r="L599" s="684"/>
      <c r="M599" s="685"/>
    </row>
    <row r="600" spans="4:13" s="682" customFormat="1" x14ac:dyDescent="0.2">
      <c r="D600" s="683"/>
      <c r="F600" s="684"/>
      <c r="G600" s="684"/>
      <c r="H600" s="684"/>
      <c r="I600" s="684"/>
      <c r="J600" s="684"/>
      <c r="K600" s="684"/>
      <c r="L600" s="684"/>
      <c r="M600" s="685"/>
    </row>
    <row r="601" spans="4:13" s="682" customFormat="1" x14ac:dyDescent="0.2">
      <c r="D601" s="683"/>
      <c r="F601" s="684"/>
      <c r="G601" s="684"/>
      <c r="H601" s="684"/>
      <c r="I601" s="684"/>
      <c r="J601" s="684"/>
      <c r="K601" s="684"/>
      <c r="L601" s="684"/>
      <c r="M601" s="685"/>
    </row>
    <row r="602" spans="4:13" s="682" customFormat="1" x14ac:dyDescent="0.2">
      <c r="D602" s="683"/>
      <c r="F602" s="684"/>
      <c r="G602" s="684"/>
      <c r="H602" s="684"/>
      <c r="I602" s="684"/>
      <c r="J602" s="684"/>
      <c r="K602" s="684"/>
      <c r="L602" s="684"/>
      <c r="M602" s="685"/>
    </row>
    <row r="603" spans="4:13" s="682" customFormat="1" x14ac:dyDescent="0.2">
      <c r="D603" s="683"/>
      <c r="F603" s="684"/>
      <c r="G603" s="684"/>
      <c r="H603" s="684"/>
      <c r="I603" s="684"/>
      <c r="J603" s="684"/>
      <c r="K603" s="684"/>
      <c r="L603" s="684"/>
      <c r="M603" s="685"/>
    </row>
    <row r="604" spans="4:13" s="682" customFormat="1" x14ac:dyDescent="0.2">
      <c r="D604" s="683"/>
      <c r="F604" s="684"/>
      <c r="G604" s="684"/>
      <c r="H604" s="684"/>
      <c r="I604" s="684"/>
      <c r="J604" s="684"/>
      <c r="K604" s="684"/>
      <c r="L604" s="684"/>
      <c r="M604" s="685"/>
    </row>
    <row r="605" spans="4:13" s="682" customFormat="1" x14ac:dyDescent="0.2">
      <c r="D605" s="683"/>
      <c r="F605" s="684"/>
      <c r="G605" s="684"/>
      <c r="H605" s="684"/>
      <c r="I605" s="684"/>
      <c r="J605" s="684"/>
      <c r="K605" s="684"/>
      <c r="L605" s="684"/>
      <c r="M605" s="685"/>
    </row>
    <row r="606" spans="4:13" s="682" customFormat="1" x14ac:dyDescent="0.2">
      <c r="D606" s="683"/>
      <c r="F606" s="684"/>
      <c r="G606" s="684"/>
      <c r="H606" s="684"/>
      <c r="I606" s="684"/>
      <c r="J606" s="684"/>
      <c r="K606" s="684"/>
      <c r="L606" s="684"/>
      <c r="M606" s="685"/>
    </row>
    <row r="607" spans="4:13" s="682" customFormat="1" x14ac:dyDescent="0.2">
      <c r="D607" s="683"/>
      <c r="F607" s="684"/>
      <c r="G607" s="684"/>
      <c r="H607" s="684"/>
      <c r="I607" s="684"/>
      <c r="J607" s="684"/>
      <c r="K607" s="684"/>
      <c r="L607" s="684"/>
      <c r="M607" s="685"/>
    </row>
    <row r="608" spans="4:13" s="682" customFormat="1" x14ac:dyDescent="0.2">
      <c r="D608" s="683"/>
      <c r="F608" s="684"/>
      <c r="G608" s="684"/>
      <c r="H608" s="684"/>
      <c r="I608" s="684"/>
      <c r="J608" s="684"/>
      <c r="K608" s="684"/>
      <c r="L608" s="684"/>
      <c r="M608" s="685"/>
    </row>
    <row r="609" spans="4:13" s="682" customFormat="1" x14ac:dyDescent="0.2">
      <c r="D609" s="683"/>
      <c r="F609" s="684"/>
      <c r="G609" s="684"/>
      <c r="H609" s="684"/>
      <c r="I609" s="684"/>
      <c r="J609" s="684"/>
      <c r="K609" s="684"/>
      <c r="L609" s="684"/>
      <c r="M609" s="685"/>
    </row>
    <row r="610" spans="4:13" s="682" customFormat="1" x14ac:dyDescent="0.2">
      <c r="D610" s="683"/>
      <c r="F610" s="684"/>
      <c r="G610" s="684"/>
      <c r="H610" s="684"/>
      <c r="I610" s="684"/>
      <c r="J610" s="684"/>
      <c r="K610" s="684"/>
      <c r="L610" s="684"/>
      <c r="M610" s="685"/>
    </row>
    <row r="611" spans="4:13" s="682" customFormat="1" x14ac:dyDescent="0.2">
      <c r="D611" s="683"/>
      <c r="F611" s="684"/>
      <c r="G611" s="684"/>
      <c r="H611" s="684"/>
      <c r="I611" s="684"/>
      <c r="J611" s="684"/>
      <c r="K611" s="684"/>
      <c r="L611" s="684"/>
      <c r="M611" s="685"/>
    </row>
    <row r="612" spans="4:13" s="682" customFormat="1" x14ac:dyDescent="0.2">
      <c r="D612" s="683"/>
      <c r="F612" s="684"/>
      <c r="G612" s="684"/>
      <c r="H612" s="684"/>
      <c r="I612" s="684"/>
      <c r="J612" s="684"/>
      <c r="K612" s="684"/>
      <c r="L612" s="684"/>
      <c r="M612" s="685"/>
    </row>
    <row r="613" spans="4:13" s="682" customFormat="1" x14ac:dyDescent="0.2">
      <c r="D613" s="683"/>
      <c r="F613" s="684"/>
      <c r="G613" s="684"/>
      <c r="H613" s="684"/>
      <c r="I613" s="684"/>
      <c r="J613" s="684"/>
      <c r="K613" s="684"/>
      <c r="L613" s="684"/>
      <c r="M613" s="685"/>
    </row>
    <row r="614" spans="4:13" s="682" customFormat="1" x14ac:dyDescent="0.2">
      <c r="D614" s="683"/>
      <c r="F614" s="684"/>
      <c r="G614" s="684"/>
      <c r="H614" s="684"/>
      <c r="I614" s="684"/>
      <c r="J614" s="684"/>
      <c r="K614" s="684"/>
      <c r="L614" s="684"/>
      <c r="M614" s="685"/>
    </row>
    <row r="615" spans="4:13" s="682" customFormat="1" x14ac:dyDescent="0.2">
      <c r="D615" s="683"/>
      <c r="F615" s="684"/>
      <c r="G615" s="684"/>
      <c r="H615" s="684"/>
      <c r="I615" s="684"/>
      <c r="J615" s="684"/>
      <c r="K615" s="684"/>
      <c r="L615" s="684"/>
      <c r="M615" s="685"/>
    </row>
    <row r="616" spans="4:13" s="682" customFormat="1" x14ac:dyDescent="0.2">
      <c r="D616" s="683"/>
      <c r="F616" s="684"/>
      <c r="G616" s="684"/>
      <c r="H616" s="684"/>
      <c r="I616" s="684"/>
      <c r="J616" s="684"/>
      <c r="K616" s="684"/>
      <c r="L616" s="684"/>
      <c r="M616" s="685"/>
    </row>
    <row r="617" spans="4:13" s="682" customFormat="1" x14ac:dyDescent="0.2">
      <c r="D617" s="683"/>
      <c r="F617" s="684"/>
      <c r="G617" s="684"/>
      <c r="H617" s="684"/>
      <c r="I617" s="684"/>
      <c r="J617" s="684"/>
      <c r="K617" s="684"/>
      <c r="L617" s="684"/>
      <c r="M617" s="685"/>
    </row>
    <row r="618" spans="4:13" s="682" customFormat="1" x14ac:dyDescent="0.2">
      <c r="D618" s="683"/>
      <c r="F618" s="684"/>
      <c r="G618" s="684"/>
      <c r="H618" s="684"/>
      <c r="I618" s="684"/>
      <c r="J618" s="684"/>
      <c r="K618" s="684"/>
      <c r="L618" s="684"/>
      <c r="M618" s="685"/>
    </row>
    <row r="619" spans="4:13" s="682" customFormat="1" x14ac:dyDescent="0.2">
      <c r="D619" s="683"/>
      <c r="F619" s="684"/>
      <c r="G619" s="684"/>
      <c r="H619" s="684"/>
      <c r="I619" s="684"/>
      <c r="J619" s="684"/>
      <c r="K619" s="684"/>
      <c r="L619" s="684"/>
      <c r="M619" s="685"/>
    </row>
    <row r="620" spans="4:13" s="682" customFormat="1" x14ac:dyDescent="0.2">
      <c r="D620" s="683"/>
      <c r="F620" s="684"/>
      <c r="G620" s="684"/>
      <c r="H620" s="684"/>
      <c r="I620" s="684"/>
      <c r="J620" s="684"/>
      <c r="K620" s="684"/>
      <c r="L620" s="684"/>
      <c r="M620" s="685"/>
    </row>
    <row r="621" spans="4:13" s="682" customFormat="1" x14ac:dyDescent="0.2">
      <c r="D621" s="683"/>
      <c r="F621" s="684"/>
      <c r="G621" s="684"/>
      <c r="H621" s="684"/>
      <c r="I621" s="684"/>
      <c r="J621" s="684"/>
      <c r="K621" s="684"/>
      <c r="L621" s="684"/>
      <c r="M621" s="685"/>
    </row>
    <row r="622" spans="4:13" s="682" customFormat="1" x14ac:dyDescent="0.2">
      <c r="D622" s="683"/>
      <c r="F622" s="684"/>
      <c r="G622" s="684"/>
      <c r="H622" s="684"/>
      <c r="I622" s="684"/>
      <c r="J622" s="684"/>
      <c r="K622" s="684"/>
      <c r="L622" s="684"/>
      <c r="M622" s="685"/>
    </row>
    <row r="623" spans="4:13" s="682" customFormat="1" x14ac:dyDescent="0.2">
      <c r="D623" s="683"/>
      <c r="F623" s="684"/>
      <c r="G623" s="684"/>
      <c r="H623" s="684"/>
      <c r="I623" s="684"/>
      <c r="J623" s="684"/>
      <c r="K623" s="684"/>
      <c r="L623" s="684"/>
      <c r="M623" s="685"/>
    </row>
    <row r="624" spans="4:13" s="682" customFormat="1" x14ac:dyDescent="0.2">
      <c r="D624" s="683"/>
      <c r="F624" s="684"/>
      <c r="G624" s="684"/>
      <c r="H624" s="684"/>
      <c r="I624" s="684"/>
      <c r="J624" s="684"/>
      <c r="K624" s="684"/>
      <c r="L624" s="684"/>
      <c r="M624" s="685"/>
    </row>
    <row r="625" spans="4:13" s="682" customFormat="1" x14ac:dyDescent="0.2">
      <c r="D625" s="683"/>
      <c r="F625" s="684"/>
      <c r="G625" s="684"/>
      <c r="H625" s="684"/>
      <c r="I625" s="684"/>
      <c r="J625" s="684"/>
      <c r="K625" s="684"/>
      <c r="L625" s="684"/>
      <c r="M625" s="685"/>
    </row>
    <row r="626" spans="4:13" s="682" customFormat="1" x14ac:dyDescent="0.2">
      <c r="D626" s="683"/>
      <c r="F626" s="684"/>
      <c r="G626" s="684"/>
      <c r="H626" s="684"/>
      <c r="I626" s="684"/>
      <c r="J626" s="684"/>
      <c r="K626" s="684"/>
      <c r="L626" s="684"/>
      <c r="M626" s="685"/>
    </row>
    <row r="627" spans="4:13" s="682" customFormat="1" x14ac:dyDescent="0.2">
      <c r="D627" s="683"/>
      <c r="F627" s="684"/>
      <c r="G627" s="684"/>
      <c r="H627" s="684"/>
      <c r="I627" s="684"/>
      <c r="J627" s="684"/>
      <c r="K627" s="684"/>
      <c r="L627" s="684"/>
      <c r="M627" s="685"/>
    </row>
    <row r="628" spans="4:13" s="682" customFormat="1" x14ac:dyDescent="0.2">
      <c r="D628" s="683"/>
      <c r="F628" s="684"/>
      <c r="G628" s="684"/>
      <c r="H628" s="684"/>
      <c r="I628" s="684"/>
      <c r="J628" s="684"/>
      <c r="K628" s="684"/>
      <c r="L628" s="684"/>
      <c r="M628" s="685"/>
    </row>
    <row r="629" spans="4:13" s="682" customFormat="1" x14ac:dyDescent="0.2">
      <c r="D629" s="683"/>
      <c r="F629" s="684"/>
      <c r="G629" s="684"/>
      <c r="H629" s="684"/>
      <c r="I629" s="684"/>
      <c r="J629" s="684"/>
      <c r="K629" s="684"/>
      <c r="L629" s="684"/>
      <c r="M629" s="685"/>
    </row>
    <row r="630" spans="4:13" s="682" customFormat="1" x14ac:dyDescent="0.2">
      <c r="D630" s="683"/>
      <c r="F630" s="684"/>
      <c r="G630" s="684"/>
      <c r="H630" s="684"/>
      <c r="I630" s="684"/>
      <c r="J630" s="684"/>
      <c r="K630" s="684"/>
      <c r="L630" s="684"/>
      <c r="M630" s="685"/>
    </row>
    <row r="631" spans="4:13" s="682" customFormat="1" x14ac:dyDescent="0.2">
      <c r="D631" s="683"/>
      <c r="F631" s="684"/>
      <c r="G631" s="684"/>
      <c r="H631" s="684"/>
      <c r="I631" s="684"/>
      <c r="J631" s="684"/>
      <c r="K631" s="684"/>
      <c r="L631" s="684"/>
      <c r="M631" s="685"/>
    </row>
    <row r="632" spans="4:13" s="682" customFormat="1" x14ac:dyDescent="0.2">
      <c r="D632" s="683"/>
      <c r="F632" s="684"/>
      <c r="G632" s="684"/>
      <c r="H632" s="684"/>
      <c r="I632" s="684"/>
      <c r="J632" s="684"/>
      <c r="K632" s="684"/>
      <c r="L632" s="684"/>
      <c r="M632" s="685"/>
    </row>
    <row r="633" spans="4:13" s="682" customFormat="1" x14ac:dyDescent="0.2">
      <c r="D633" s="683"/>
      <c r="F633" s="684"/>
      <c r="G633" s="684"/>
      <c r="H633" s="684"/>
      <c r="I633" s="684"/>
      <c r="J633" s="684"/>
      <c r="K633" s="684"/>
      <c r="L633" s="684"/>
      <c r="M633" s="685"/>
    </row>
    <row r="634" spans="4:13" s="682" customFormat="1" x14ac:dyDescent="0.2">
      <c r="D634" s="683"/>
      <c r="F634" s="684"/>
      <c r="G634" s="684"/>
      <c r="H634" s="684"/>
      <c r="I634" s="684"/>
      <c r="J634" s="684"/>
      <c r="K634" s="684"/>
      <c r="L634" s="684"/>
      <c r="M634" s="685"/>
    </row>
    <row r="635" spans="4:13" s="682" customFormat="1" x14ac:dyDescent="0.2">
      <c r="D635" s="683"/>
      <c r="F635" s="684"/>
      <c r="G635" s="684"/>
      <c r="H635" s="684"/>
      <c r="I635" s="684"/>
      <c r="J635" s="684"/>
      <c r="K635" s="684"/>
      <c r="L635" s="684"/>
      <c r="M635" s="685"/>
    </row>
    <row r="636" spans="4:13" s="682" customFormat="1" x14ac:dyDescent="0.2">
      <c r="D636" s="683"/>
      <c r="F636" s="684"/>
      <c r="G636" s="684"/>
      <c r="H636" s="684"/>
      <c r="I636" s="684"/>
      <c r="J636" s="684"/>
      <c r="K636" s="684"/>
      <c r="L636" s="684"/>
      <c r="M636" s="685"/>
    </row>
    <row r="637" spans="4:13" s="682" customFormat="1" x14ac:dyDescent="0.2">
      <c r="D637" s="683"/>
      <c r="F637" s="684"/>
      <c r="G637" s="684"/>
      <c r="H637" s="684"/>
      <c r="I637" s="684"/>
      <c r="J637" s="684"/>
      <c r="K637" s="684"/>
      <c r="L637" s="684"/>
      <c r="M637" s="685"/>
    </row>
    <row r="638" spans="4:13" s="682" customFormat="1" x14ac:dyDescent="0.2">
      <c r="D638" s="683"/>
      <c r="F638" s="684"/>
      <c r="G638" s="684"/>
      <c r="H638" s="684"/>
      <c r="I638" s="684"/>
      <c r="J638" s="684"/>
      <c r="K638" s="684"/>
      <c r="L638" s="684"/>
      <c r="M638" s="685"/>
    </row>
    <row r="639" spans="4:13" s="682" customFormat="1" x14ac:dyDescent="0.2">
      <c r="D639" s="683"/>
      <c r="F639" s="684"/>
      <c r="G639" s="684"/>
      <c r="H639" s="684"/>
      <c r="I639" s="684"/>
      <c r="J639" s="684"/>
      <c r="K639" s="684"/>
      <c r="L639" s="684"/>
      <c r="M639" s="685"/>
    </row>
    <row r="640" spans="4:13" s="682" customFormat="1" x14ac:dyDescent="0.2">
      <c r="D640" s="683"/>
      <c r="F640" s="684"/>
      <c r="G640" s="684"/>
      <c r="H640" s="684"/>
      <c r="I640" s="684"/>
      <c r="J640" s="684"/>
      <c r="K640" s="684"/>
      <c r="L640" s="684"/>
      <c r="M640" s="685"/>
    </row>
    <row r="641" spans="4:13" s="682" customFormat="1" x14ac:dyDescent="0.2">
      <c r="D641" s="683"/>
      <c r="F641" s="684"/>
      <c r="G641" s="684"/>
      <c r="H641" s="684"/>
      <c r="I641" s="684"/>
      <c r="J641" s="684"/>
      <c r="K641" s="684"/>
      <c r="L641" s="684"/>
      <c r="M641" s="685"/>
    </row>
    <row r="642" spans="4:13" s="682" customFormat="1" x14ac:dyDescent="0.2">
      <c r="D642" s="683"/>
      <c r="F642" s="684"/>
      <c r="G642" s="684"/>
      <c r="H642" s="684"/>
      <c r="I642" s="684"/>
      <c r="J642" s="684"/>
      <c r="K642" s="684"/>
      <c r="L642" s="684"/>
      <c r="M642" s="685"/>
    </row>
    <row r="643" spans="4:13" s="682" customFormat="1" x14ac:dyDescent="0.2">
      <c r="D643" s="683"/>
      <c r="F643" s="684"/>
      <c r="G643" s="684"/>
      <c r="H643" s="684"/>
      <c r="I643" s="684"/>
      <c r="J643" s="684"/>
      <c r="K643" s="684"/>
      <c r="L643" s="684"/>
      <c r="M643" s="685"/>
    </row>
    <row r="644" spans="4:13" s="682" customFormat="1" x14ac:dyDescent="0.2">
      <c r="D644" s="683"/>
      <c r="F644" s="684"/>
      <c r="G644" s="684"/>
      <c r="H644" s="684"/>
      <c r="I644" s="684"/>
      <c r="J644" s="684"/>
      <c r="K644" s="684"/>
      <c r="L644" s="684"/>
      <c r="M644" s="685"/>
    </row>
    <row r="645" spans="4:13" s="682" customFormat="1" x14ac:dyDescent="0.2">
      <c r="D645" s="683"/>
      <c r="F645" s="684"/>
      <c r="G645" s="684"/>
      <c r="H645" s="684"/>
      <c r="I645" s="684"/>
      <c r="J645" s="684"/>
      <c r="K645" s="684"/>
      <c r="L645" s="684"/>
      <c r="M645" s="685"/>
    </row>
    <row r="646" spans="4:13" s="682" customFormat="1" x14ac:dyDescent="0.2">
      <c r="D646" s="683"/>
      <c r="F646" s="684"/>
      <c r="G646" s="684"/>
      <c r="H646" s="684"/>
      <c r="I646" s="684"/>
      <c r="J646" s="684"/>
      <c r="K646" s="684"/>
      <c r="L646" s="684"/>
      <c r="M646" s="685"/>
    </row>
    <row r="647" spans="4:13" s="682" customFormat="1" x14ac:dyDescent="0.2">
      <c r="D647" s="683"/>
      <c r="F647" s="684"/>
      <c r="G647" s="684"/>
      <c r="H647" s="684"/>
      <c r="I647" s="684"/>
      <c r="J647" s="684"/>
      <c r="K647" s="684"/>
      <c r="L647" s="684"/>
      <c r="M647" s="685"/>
    </row>
    <row r="648" spans="4:13" s="682" customFormat="1" x14ac:dyDescent="0.2">
      <c r="D648" s="683"/>
      <c r="F648" s="684"/>
      <c r="G648" s="684"/>
      <c r="H648" s="684"/>
      <c r="I648" s="684"/>
      <c r="J648" s="684"/>
      <c r="K648" s="684"/>
      <c r="L648" s="684"/>
      <c r="M648" s="685"/>
    </row>
    <row r="649" spans="4:13" s="682" customFormat="1" x14ac:dyDescent="0.2">
      <c r="D649" s="683"/>
      <c r="F649" s="684"/>
      <c r="G649" s="684"/>
      <c r="H649" s="684"/>
      <c r="I649" s="684"/>
      <c r="J649" s="684"/>
      <c r="K649" s="684"/>
      <c r="L649" s="684"/>
      <c r="M649" s="685"/>
    </row>
    <row r="650" spans="4:13" s="682" customFormat="1" x14ac:dyDescent="0.2">
      <c r="D650" s="683"/>
      <c r="F650" s="684"/>
      <c r="G650" s="684"/>
      <c r="H650" s="684"/>
      <c r="I650" s="684"/>
      <c r="J650" s="684"/>
      <c r="K650" s="684"/>
      <c r="L650" s="684"/>
      <c r="M650" s="685"/>
    </row>
    <row r="651" spans="4:13" s="682" customFormat="1" x14ac:dyDescent="0.2">
      <c r="D651" s="683"/>
      <c r="F651" s="684"/>
      <c r="G651" s="684"/>
      <c r="H651" s="684"/>
      <c r="I651" s="684"/>
      <c r="J651" s="684"/>
      <c r="K651" s="684"/>
      <c r="L651" s="684"/>
      <c r="M651" s="685"/>
    </row>
    <row r="652" spans="4:13" s="682" customFormat="1" x14ac:dyDescent="0.2">
      <c r="D652" s="683"/>
      <c r="F652" s="684"/>
      <c r="G652" s="684"/>
      <c r="H652" s="684"/>
      <c r="I652" s="684"/>
      <c r="J652" s="684"/>
      <c r="K652" s="684"/>
      <c r="L652" s="684"/>
      <c r="M652" s="685"/>
    </row>
    <row r="653" spans="4:13" s="682" customFormat="1" x14ac:dyDescent="0.2">
      <c r="D653" s="683"/>
      <c r="F653" s="684"/>
      <c r="G653" s="684"/>
      <c r="H653" s="684"/>
      <c r="I653" s="684"/>
      <c r="J653" s="684"/>
      <c r="K653" s="684"/>
      <c r="L653" s="684"/>
      <c r="M653" s="685"/>
    </row>
    <row r="654" spans="4:13" s="682" customFormat="1" x14ac:dyDescent="0.2">
      <c r="D654" s="683"/>
      <c r="F654" s="684"/>
      <c r="G654" s="684"/>
      <c r="H654" s="684"/>
      <c r="I654" s="684"/>
      <c r="J654" s="684"/>
      <c r="K654" s="684"/>
      <c r="L654" s="684"/>
      <c r="M654" s="685"/>
    </row>
    <row r="655" spans="4:13" s="682" customFormat="1" x14ac:dyDescent="0.2">
      <c r="D655" s="683"/>
      <c r="F655" s="684"/>
      <c r="G655" s="684"/>
      <c r="H655" s="684"/>
      <c r="I655" s="684"/>
      <c r="J655" s="684"/>
      <c r="K655" s="684"/>
      <c r="L655" s="684"/>
      <c r="M655" s="685"/>
    </row>
    <row r="656" spans="4:13" s="682" customFormat="1" x14ac:dyDescent="0.2">
      <c r="D656" s="683"/>
      <c r="F656" s="684"/>
      <c r="G656" s="684"/>
      <c r="H656" s="684"/>
      <c r="I656" s="684"/>
      <c r="J656" s="684"/>
      <c r="K656" s="684"/>
      <c r="L656" s="684"/>
      <c r="M656" s="685"/>
    </row>
    <row r="657" spans="4:13" s="682" customFormat="1" x14ac:dyDescent="0.2">
      <c r="D657" s="683"/>
      <c r="F657" s="684"/>
      <c r="G657" s="684"/>
      <c r="H657" s="684"/>
      <c r="I657" s="684"/>
      <c r="J657" s="684"/>
      <c r="K657" s="684"/>
      <c r="L657" s="684"/>
      <c r="M657" s="685"/>
    </row>
    <row r="658" spans="4:13" s="682" customFormat="1" x14ac:dyDescent="0.2">
      <c r="D658" s="683"/>
      <c r="F658" s="684"/>
      <c r="G658" s="684"/>
      <c r="H658" s="684"/>
      <c r="I658" s="684"/>
      <c r="J658" s="684"/>
      <c r="K658" s="684"/>
      <c r="L658" s="684"/>
      <c r="M658" s="685"/>
    </row>
    <row r="659" spans="4:13" s="682" customFormat="1" x14ac:dyDescent="0.2">
      <c r="D659" s="683"/>
      <c r="F659" s="684"/>
      <c r="G659" s="684"/>
      <c r="H659" s="684"/>
      <c r="I659" s="684"/>
      <c r="J659" s="684"/>
      <c r="K659" s="684"/>
      <c r="L659" s="684"/>
      <c r="M659" s="685"/>
    </row>
    <row r="660" spans="4:13" s="682" customFormat="1" x14ac:dyDescent="0.2">
      <c r="D660" s="683"/>
      <c r="F660" s="684"/>
      <c r="G660" s="684"/>
      <c r="H660" s="684"/>
      <c r="I660" s="684"/>
      <c r="J660" s="684"/>
      <c r="K660" s="684"/>
      <c r="L660" s="684"/>
      <c r="M660" s="685"/>
    </row>
    <row r="661" spans="4:13" s="682" customFormat="1" x14ac:dyDescent="0.2">
      <c r="D661" s="683"/>
      <c r="F661" s="684"/>
      <c r="G661" s="684"/>
      <c r="H661" s="684"/>
      <c r="I661" s="684"/>
      <c r="J661" s="684"/>
      <c r="K661" s="684"/>
      <c r="L661" s="684"/>
      <c r="M661" s="685"/>
    </row>
    <row r="662" spans="4:13" s="682" customFormat="1" x14ac:dyDescent="0.2">
      <c r="D662" s="683"/>
      <c r="F662" s="684"/>
      <c r="G662" s="684"/>
      <c r="H662" s="684"/>
      <c r="I662" s="684"/>
      <c r="J662" s="684"/>
      <c r="K662" s="684"/>
      <c r="L662" s="684"/>
      <c r="M662" s="685"/>
    </row>
    <row r="663" spans="4:13" s="682" customFormat="1" x14ac:dyDescent="0.2">
      <c r="D663" s="683"/>
      <c r="F663" s="684"/>
      <c r="G663" s="684"/>
      <c r="H663" s="684"/>
      <c r="I663" s="684"/>
      <c r="J663" s="684"/>
      <c r="K663" s="684"/>
      <c r="L663" s="684"/>
      <c r="M663" s="685"/>
    </row>
    <row r="664" spans="4:13" s="682" customFormat="1" x14ac:dyDescent="0.2">
      <c r="D664" s="683"/>
      <c r="F664" s="684"/>
      <c r="G664" s="684"/>
      <c r="H664" s="684"/>
      <c r="I664" s="684"/>
      <c r="J664" s="684"/>
      <c r="K664" s="684"/>
      <c r="L664" s="684"/>
      <c r="M664" s="685"/>
    </row>
    <row r="665" spans="4:13" s="682" customFormat="1" x14ac:dyDescent="0.2">
      <c r="D665" s="683"/>
      <c r="F665" s="684"/>
      <c r="G665" s="684"/>
      <c r="H665" s="684"/>
      <c r="I665" s="684"/>
      <c r="J665" s="684"/>
      <c r="K665" s="684"/>
      <c r="L665" s="684"/>
      <c r="M665" s="685"/>
    </row>
    <row r="666" spans="4:13" s="682" customFormat="1" x14ac:dyDescent="0.2">
      <c r="D666" s="683"/>
      <c r="F666" s="684"/>
      <c r="G666" s="684"/>
      <c r="H666" s="684"/>
      <c r="I666" s="684"/>
      <c r="J666" s="684"/>
      <c r="K666" s="684"/>
      <c r="L666" s="684"/>
      <c r="M666" s="685"/>
    </row>
    <row r="667" spans="4:13" s="682" customFormat="1" x14ac:dyDescent="0.2">
      <c r="D667" s="683"/>
      <c r="F667" s="684"/>
      <c r="G667" s="684"/>
      <c r="H667" s="684"/>
      <c r="I667" s="684"/>
      <c r="J667" s="684"/>
      <c r="K667" s="684"/>
      <c r="L667" s="684"/>
      <c r="M667" s="685"/>
    </row>
    <row r="668" spans="4:13" s="682" customFormat="1" x14ac:dyDescent="0.2">
      <c r="D668" s="683"/>
      <c r="F668" s="684"/>
      <c r="G668" s="684"/>
      <c r="H668" s="684"/>
      <c r="I668" s="684"/>
      <c r="J668" s="684"/>
      <c r="K668" s="684"/>
      <c r="L668" s="684"/>
      <c r="M668" s="685"/>
    </row>
    <row r="669" spans="4:13" s="682" customFormat="1" x14ac:dyDescent="0.2">
      <c r="D669" s="683"/>
      <c r="F669" s="684"/>
      <c r="G669" s="684"/>
      <c r="H669" s="684"/>
      <c r="I669" s="684"/>
      <c r="J669" s="684"/>
      <c r="K669" s="684"/>
      <c r="L669" s="684"/>
      <c r="M669" s="685"/>
    </row>
    <row r="670" spans="4:13" s="682" customFormat="1" x14ac:dyDescent="0.2">
      <c r="D670" s="683"/>
      <c r="F670" s="684"/>
      <c r="G670" s="684"/>
      <c r="H670" s="684"/>
      <c r="I670" s="684"/>
      <c r="J670" s="684"/>
      <c r="K670" s="684"/>
      <c r="L670" s="684"/>
      <c r="M670" s="685"/>
    </row>
    <row r="671" spans="4:13" s="682" customFormat="1" x14ac:dyDescent="0.2">
      <c r="D671" s="683"/>
      <c r="F671" s="684"/>
      <c r="G671" s="684"/>
      <c r="H671" s="684"/>
      <c r="I671" s="684"/>
      <c r="J671" s="684"/>
      <c r="K671" s="684"/>
      <c r="L671" s="684"/>
      <c r="M671" s="685"/>
    </row>
    <row r="672" spans="4:13" s="682" customFormat="1" x14ac:dyDescent="0.2">
      <c r="D672" s="683"/>
      <c r="F672" s="684"/>
      <c r="G672" s="684"/>
      <c r="H672" s="684"/>
      <c r="I672" s="684"/>
      <c r="J672" s="684"/>
      <c r="K672" s="684"/>
      <c r="L672" s="684"/>
      <c r="M672" s="685"/>
    </row>
    <row r="673" spans="4:13" s="682" customFormat="1" x14ac:dyDescent="0.2">
      <c r="D673" s="683"/>
      <c r="F673" s="684"/>
      <c r="G673" s="684"/>
      <c r="H673" s="684"/>
      <c r="I673" s="684"/>
      <c r="J673" s="684"/>
      <c r="K673" s="684"/>
      <c r="L673" s="684"/>
      <c r="M673" s="685"/>
    </row>
    <row r="674" spans="4:13" s="682" customFormat="1" x14ac:dyDescent="0.2">
      <c r="D674" s="683"/>
      <c r="F674" s="684"/>
      <c r="G674" s="684"/>
      <c r="H674" s="684"/>
      <c r="I674" s="684"/>
      <c r="J674" s="684"/>
      <c r="K674" s="684"/>
      <c r="L674" s="684"/>
      <c r="M674" s="685"/>
    </row>
    <row r="675" spans="4:13" s="682" customFormat="1" x14ac:dyDescent="0.2">
      <c r="D675" s="683"/>
      <c r="F675" s="684"/>
      <c r="G675" s="684"/>
      <c r="H675" s="684"/>
      <c r="I675" s="684"/>
      <c r="J675" s="684"/>
      <c r="K675" s="684"/>
      <c r="L675" s="684"/>
      <c r="M675" s="685"/>
    </row>
    <row r="676" spans="4:13" s="682" customFormat="1" x14ac:dyDescent="0.2">
      <c r="D676" s="683"/>
      <c r="F676" s="684"/>
      <c r="G676" s="684"/>
      <c r="H676" s="684"/>
      <c r="I676" s="684"/>
      <c r="J676" s="684"/>
      <c r="K676" s="684"/>
      <c r="L676" s="684"/>
      <c r="M676" s="685"/>
    </row>
    <row r="677" spans="4:13" s="682" customFormat="1" x14ac:dyDescent="0.2">
      <c r="D677" s="683"/>
      <c r="F677" s="684"/>
      <c r="G677" s="684"/>
      <c r="H677" s="684"/>
      <c r="I677" s="684"/>
      <c r="J677" s="684"/>
      <c r="K677" s="684"/>
      <c r="L677" s="684"/>
      <c r="M677" s="685"/>
    </row>
    <row r="678" spans="4:13" s="682" customFormat="1" x14ac:dyDescent="0.2">
      <c r="D678" s="683"/>
      <c r="F678" s="684"/>
      <c r="G678" s="684"/>
      <c r="H678" s="684"/>
      <c r="I678" s="684"/>
      <c r="J678" s="684"/>
      <c r="K678" s="684"/>
      <c r="L678" s="684"/>
      <c r="M678" s="685"/>
    </row>
    <row r="679" spans="4:13" s="682" customFormat="1" x14ac:dyDescent="0.2">
      <c r="D679" s="683"/>
      <c r="F679" s="684"/>
      <c r="G679" s="684"/>
      <c r="H679" s="684"/>
      <c r="I679" s="684"/>
      <c r="J679" s="684"/>
      <c r="K679" s="684"/>
      <c r="L679" s="684"/>
      <c r="M679" s="685"/>
    </row>
    <row r="680" spans="4:13" s="682" customFormat="1" x14ac:dyDescent="0.2">
      <c r="D680" s="683"/>
      <c r="F680" s="684"/>
      <c r="G680" s="684"/>
      <c r="H680" s="684"/>
      <c r="I680" s="684"/>
      <c r="J680" s="684"/>
      <c r="K680" s="684"/>
      <c r="L680" s="684"/>
      <c r="M680" s="685"/>
    </row>
    <row r="681" spans="4:13" s="682" customFormat="1" x14ac:dyDescent="0.2">
      <c r="D681" s="683"/>
      <c r="F681" s="684"/>
      <c r="G681" s="684"/>
      <c r="H681" s="684"/>
      <c r="I681" s="684"/>
      <c r="J681" s="684"/>
      <c r="K681" s="684"/>
      <c r="L681" s="684"/>
      <c r="M681" s="685"/>
    </row>
    <row r="682" spans="4:13" s="682" customFormat="1" x14ac:dyDescent="0.2">
      <c r="D682" s="683"/>
      <c r="F682" s="684"/>
      <c r="G682" s="684"/>
      <c r="H682" s="684"/>
      <c r="I682" s="684"/>
      <c r="J682" s="684"/>
      <c r="K682" s="684"/>
      <c r="L682" s="684"/>
      <c r="M682" s="685"/>
    </row>
    <row r="683" spans="4:13" s="682" customFormat="1" x14ac:dyDescent="0.2">
      <c r="D683" s="683"/>
      <c r="F683" s="684"/>
      <c r="G683" s="684"/>
      <c r="H683" s="684"/>
      <c r="I683" s="684"/>
      <c r="J683" s="684"/>
      <c r="K683" s="684"/>
      <c r="L683" s="684"/>
      <c r="M683" s="685"/>
    </row>
    <row r="684" spans="4:13" s="682" customFormat="1" x14ac:dyDescent="0.2">
      <c r="D684" s="683"/>
      <c r="F684" s="684"/>
      <c r="G684" s="684"/>
      <c r="H684" s="684"/>
      <c r="I684" s="684"/>
      <c r="J684" s="684"/>
      <c r="K684" s="684"/>
      <c r="L684" s="684"/>
      <c r="M684" s="685"/>
    </row>
    <row r="685" spans="4:13" s="682" customFormat="1" x14ac:dyDescent="0.2">
      <c r="D685" s="683"/>
      <c r="F685" s="684"/>
      <c r="G685" s="684"/>
      <c r="H685" s="684"/>
      <c r="I685" s="684"/>
      <c r="J685" s="684"/>
      <c r="K685" s="684"/>
      <c r="L685" s="684"/>
      <c r="M685" s="685"/>
    </row>
    <row r="686" spans="4:13" s="682" customFormat="1" x14ac:dyDescent="0.2">
      <c r="D686" s="683"/>
      <c r="F686" s="684"/>
      <c r="G686" s="684"/>
      <c r="H686" s="684"/>
      <c r="I686" s="684"/>
      <c r="J686" s="684"/>
      <c r="K686" s="684"/>
      <c r="L686" s="684"/>
      <c r="M686" s="685"/>
    </row>
    <row r="687" spans="4:13" s="682" customFormat="1" x14ac:dyDescent="0.2">
      <c r="D687" s="683"/>
      <c r="F687" s="684"/>
      <c r="G687" s="684"/>
      <c r="H687" s="684"/>
      <c r="I687" s="684"/>
      <c r="J687" s="684"/>
      <c r="K687" s="684"/>
      <c r="L687" s="684"/>
      <c r="M687" s="685"/>
    </row>
    <row r="688" spans="4:13" s="682" customFormat="1" x14ac:dyDescent="0.2">
      <c r="D688" s="683"/>
      <c r="F688" s="684"/>
      <c r="G688" s="684"/>
      <c r="H688" s="684"/>
      <c r="I688" s="684"/>
      <c r="J688" s="684"/>
      <c r="K688" s="684"/>
      <c r="L688" s="684"/>
      <c r="M688" s="685"/>
    </row>
    <row r="689" spans="4:13" s="682" customFormat="1" x14ac:dyDescent="0.2">
      <c r="D689" s="683"/>
      <c r="F689" s="684"/>
      <c r="G689" s="684"/>
      <c r="H689" s="684"/>
      <c r="I689" s="684"/>
      <c r="J689" s="684"/>
      <c r="K689" s="684"/>
      <c r="L689" s="684"/>
      <c r="M689" s="685"/>
    </row>
    <row r="690" spans="4:13" s="682" customFormat="1" x14ac:dyDescent="0.2">
      <c r="D690" s="683"/>
      <c r="F690" s="684"/>
      <c r="G690" s="684"/>
      <c r="H690" s="684"/>
      <c r="I690" s="684"/>
      <c r="J690" s="684"/>
      <c r="K690" s="684"/>
      <c r="L690" s="684"/>
      <c r="M690" s="685"/>
    </row>
    <row r="691" spans="4:13" s="682" customFormat="1" x14ac:dyDescent="0.2">
      <c r="D691" s="683"/>
      <c r="F691" s="684"/>
      <c r="G691" s="684"/>
      <c r="H691" s="684"/>
      <c r="I691" s="684"/>
      <c r="J691" s="684"/>
      <c r="K691" s="684"/>
      <c r="L691" s="684"/>
      <c r="M691" s="685"/>
    </row>
    <row r="692" spans="4:13" s="682" customFormat="1" x14ac:dyDescent="0.2">
      <c r="D692" s="683"/>
      <c r="F692" s="684"/>
      <c r="G692" s="684"/>
      <c r="H692" s="684"/>
      <c r="I692" s="684"/>
      <c r="J692" s="684"/>
      <c r="K692" s="684"/>
      <c r="L692" s="684"/>
      <c r="M692" s="685"/>
    </row>
    <row r="693" spans="4:13" s="682" customFormat="1" x14ac:dyDescent="0.2">
      <c r="D693" s="683"/>
      <c r="F693" s="684"/>
      <c r="G693" s="684"/>
      <c r="H693" s="684"/>
      <c r="I693" s="684"/>
      <c r="J693" s="684"/>
      <c r="K693" s="684"/>
      <c r="L693" s="684"/>
      <c r="M693" s="685"/>
    </row>
    <row r="694" spans="4:13" s="682" customFormat="1" x14ac:dyDescent="0.2">
      <c r="D694" s="683"/>
      <c r="F694" s="684"/>
      <c r="G694" s="684"/>
      <c r="H694" s="684"/>
      <c r="I694" s="684"/>
      <c r="J694" s="684"/>
      <c r="K694" s="684"/>
      <c r="L694" s="684"/>
      <c r="M694" s="685"/>
    </row>
    <row r="695" spans="4:13" s="682" customFormat="1" x14ac:dyDescent="0.2">
      <c r="D695" s="683"/>
      <c r="F695" s="684"/>
      <c r="G695" s="684"/>
      <c r="H695" s="684"/>
      <c r="I695" s="684"/>
      <c r="J695" s="684"/>
      <c r="K695" s="684"/>
      <c r="L695" s="684"/>
      <c r="M695" s="685"/>
    </row>
    <row r="696" spans="4:13" s="682" customFormat="1" x14ac:dyDescent="0.2">
      <c r="D696" s="683"/>
      <c r="F696" s="684"/>
      <c r="G696" s="684"/>
      <c r="H696" s="684"/>
      <c r="I696" s="684"/>
      <c r="J696" s="684"/>
      <c r="K696" s="684"/>
      <c r="L696" s="684"/>
      <c r="M696" s="685"/>
    </row>
    <row r="697" spans="4:13" s="682" customFormat="1" x14ac:dyDescent="0.2">
      <c r="D697" s="683"/>
      <c r="F697" s="684"/>
      <c r="G697" s="684"/>
      <c r="H697" s="684"/>
      <c r="I697" s="684"/>
      <c r="J697" s="684"/>
      <c r="K697" s="684"/>
      <c r="L697" s="684"/>
      <c r="M697" s="685"/>
    </row>
    <row r="698" spans="4:13" s="682" customFormat="1" x14ac:dyDescent="0.2">
      <c r="D698" s="683"/>
      <c r="F698" s="684"/>
      <c r="G698" s="684"/>
      <c r="H698" s="684"/>
      <c r="I698" s="684"/>
      <c r="J698" s="684"/>
      <c r="K698" s="684"/>
      <c r="L698" s="684"/>
      <c r="M698" s="685"/>
    </row>
    <row r="699" spans="4:13" s="682" customFormat="1" x14ac:dyDescent="0.2">
      <c r="D699" s="683"/>
      <c r="F699" s="684"/>
      <c r="G699" s="684"/>
      <c r="H699" s="684"/>
      <c r="I699" s="684"/>
      <c r="J699" s="684"/>
      <c r="K699" s="684"/>
      <c r="L699" s="684"/>
      <c r="M699" s="685"/>
    </row>
    <row r="700" spans="4:13" s="682" customFormat="1" x14ac:dyDescent="0.2">
      <c r="D700" s="683"/>
      <c r="F700" s="684"/>
      <c r="G700" s="684"/>
      <c r="H700" s="684"/>
      <c r="I700" s="684"/>
      <c r="J700" s="684"/>
      <c r="K700" s="684"/>
      <c r="L700" s="684"/>
      <c r="M700" s="685"/>
    </row>
    <row r="701" spans="4:13" s="682" customFormat="1" x14ac:dyDescent="0.2">
      <c r="D701" s="683"/>
      <c r="F701" s="684"/>
      <c r="G701" s="684"/>
      <c r="H701" s="684"/>
      <c r="I701" s="684"/>
      <c r="J701" s="684"/>
      <c r="K701" s="684"/>
      <c r="L701" s="684"/>
      <c r="M701" s="685"/>
    </row>
    <row r="702" spans="4:13" s="682" customFormat="1" x14ac:dyDescent="0.2">
      <c r="D702" s="683"/>
      <c r="F702" s="684"/>
      <c r="G702" s="684"/>
      <c r="H702" s="684"/>
      <c r="I702" s="684"/>
      <c r="J702" s="684"/>
      <c r="K702" s="684"/>
      <c r="L702" s="684"/>
      <c r="M702" s="685"/>
    </row>
    <row r="703" spans="4:13" s="682" customFormat="1" x14ac:dyDescent="0.2">
      <c r="D703" s="683"/>
      <c r="F703" s="684"/>
      <c r="G703" s="684"/>
      <c r="H703" s="684"/>
      <c r="I703" s="684"/>
      <c r="J703" s="684"/>
      <c r="K703" s="684"/>
      <c r="L703" s="684"/>
      <c r="M703" s="685"/>
    </row>
    <row r="704" spans="4:13" s="682" customFormat="1" x14ac:dyDescent="0.2">
      <c r="D704" s="683"/>
      <c r="F704" s="684"/>
      <c r="G704" s="684"/>
      <c r="H704" s="684"/>
      <c r="I704" s="684"/>
      <c r="J704" s="684"/>
      <c r="K704" s="684"/>
      <c r="L704" s="684"/>
      <c r="M704" s="685"/>
    </row>
    <row r="705" spans="4:13" s="682" customFormat="1" x14ac:dyDescent="0.2">
      <c r="D705" s="683"/>
      <c r="F705" s="684"/>
      <c r="G705" s="684"/>
      <c r="H705" s="684"/>
      <c r="I705" s="684"/>
      <c r="J705" s="684"/>
      <c r="K705" s="684"/>
      <c r="L705" s="684"/>
      <c r="M705" s="685"/>
    </row>
    <row r="706" spans="4:13" s="682" customFormat="1" x14ac:dyDescent="0.2">
      <c r="D706" s="683"/>
      <c r="F706" s="684"/>
      <c r="G706" s="684"/>
      <c r="H706" s="684"/>
      <c r="I706" s="684"/>
      <c r="J706" s="684"/>
      <c r="K706" s="684"/>
      <c r="L706" s="684"/>
      <c r="M706" s="685"/>
    </row>
    <row r="707" spans="4:13" s="682" customFormat="1" x14ac:dyDescent="0.2">
      <c r="D707" s="683"/>
      <c r="F707" s="684"/>
      <c r="G707" s="684"/>
      <c r="H707" s="684"/>
      <c r="I707" s="684"/>
      <c r="J707" s="684"/>
      <c r="K707" s="684"/>
      <c r="L707" s="684"/>
      <c r="M707" s="685"/>
    </row>
    <row r="708" spans="4:13" s="682" customFormat="1" x14ac:dyDescent="0.2">
      <c r="D708" s="683"/>
      <c r="F708" s="684"/>
      <c r="G708" s="684"/>
      <c r="H708" s="684"/>
      <c r="I708" s="684"/>
      <c r="J708" s="684"/>
      <c r="K708" s="684"/>
      <c r="L708" s="684"/>
      <c r="M708" s="685"/>
    </row>
    <row r="709" spans="4:13" s="682" customFormat="1" x14ac:dyDescent="0.2">
      <c r="D709" s="683"/>
      <c r="F709" s="684"/>
      <c r="G709" s="684"/>
      <c r="H709" s="684"/>
      <c r="I709" s="684"/>
      <c r="J709" s="684"/>
      <c r="K709" s="684"/>
      <c r="L709" s="684"/>
      <c r="M709" s="685"/>
    </row>
    <row r="710" spans="4:13" s="682" customFormat="1" x14ac:dyDescent="0.2">
      <c r="D710" s="683"/>
      <c r="F710" s="684"/>
      <c r="G710" s="684"/>
      <c r="H710" s="684"/>
      <c r="I710" s="684"/>
      <c r="J710" s="684"/>
      <c r="K710" s="684"/>
      <c r="L710" s="684"/>
      <c r="M710" s="685"/>
    </row>
    <row r="711" spans="4:13" s="682" customFormat="1" x14ac:dyDescent="0.2">
      <c r="D711" s="683"/>
      <c r="F711" s="684"/>
      <c r="G711" s="684"/>
      <c r="H711" s="684"/>
      <c r="I711" s="684"/>
      <c r="J711" s="684"/>
      <c r="K711" s="684"/>
      <c r="L711" s="684"/>
      <c r="M711" s="685"/>
    </row>
    <row r="712" spans="4:13" s="682" customFormat="1" x14ac:dyDescent="0.2">
      <c r="D712" s="683"/>
      <c r="F712" s="684"/>
      <c r="G712" s="684"/>
      <c r="H712" s="684"/>
      <c r="I712" s="684"/>
      <c r="J712" s="684"/>
      <c r="K712" s="684"/>
      <c r="L712" s="684"/>
      <c r="M712" s="685"/>
    </row>
    <row r="713" spans="4:13" s="682" customFormat="1" x14ac:dyDescent="0.2">
      <c r="D713" s="683"/>
      <c r="F713" s="684"/>
      <c r="G713" s="684"/>
      <c r="H713" s="684"/>
      <c r="I713" s="684"/>
      <c r="J713" s="684"/>
      <c r="K713" s="684"/>
      <c r="L713" s="684"/>
      <c r="M713" s="685"/>
    </row>
    <row r="714" spans="4:13" s="682" customFormat="1" x14ac:dyDescent="0.2">
      <c r="D714" s="683"/>
      <c r="F714" s="684"/>
      <c r="G714" s="684"/>
      <c r="H714" s="684"/>
      <c r="I714" s="684"/>
      <c r="J714" s="684"/>
      <c r="K714" s="684"/>
      <c r="L714" s="684"/>
      <c r="M714" s="685"/>
    </row>
    <row r="715" spans="4:13" s="682" customFormat="1" x14ac:dyDescent="0.2">
      <c r="D715" s="683"/>
      <c r="F715" s="684"/>
      <c r="G715" s="684"/>
      <c r="H715" s="684"/>
      <c r="I715" s="684"/>
      <c r="J715" s="684"/>
      <c r="K715" s="684"/>
      <c r="L715" s="684"/>
      <c r="M715" s="685"/>
    </row>
    <row r="716" spans="4:13" s="682" customFormat="1" x14ac:dyDescent="0.2">
      <c r="D716" s="683"/>
      <c r="F716" s="684"/>
      <c r="G716" s="684"/>
      <c r="H716" s="684"/>
      <c r="I716" s="684"/>
      <c r="J716" s="684"/>
      <c r="K716" s="684"/>
      <c r="L716" s="684"/>
      <c r="M716" s="685"/>
    </row>
    <row r="717" spans="4:13" s="682" customFormat="1" x14ac:dyDescent="0.2">
      <c r="D717" s="683"/>
      <c r="F717" s="684"/>
      <c r="G717" s="684"/>
      <c r="H717" s="684"/>
      <c r="I717" s="684"/>
      <c r="J717" s="684"/>
      <c r="K717" s="684"/>
      <c r="L717" s="684"/>
      <c r="M717" s="685"/>
    </row>
    <row r="718" spans="4:13" s="682" customFormat="1" x14ac:dyDescent="0.2">
      <c r="D718" s="683"/>
      <c r="F718" s="684"/>
      <c r="G718" s="684"/>
      <c r="H718" s="684"/>
      <c r="I718" s="684"/>
      <c r="J718" s="684"/>
      <c r="K718" s="684"/>
      <c r="L718" s="684"/>
      <c r="M718" s="685"/>
    </row>
    <row r="719" spans="4:13" s="682" customFormat="1" x14ac:dyDescent="0.2">
      <c r="D719" s="683"/>
      <c r="F719" s="684"/>
      <c r="G719" s="684"/>
      <c r="H719" s="684"/>
      <c r="I719" s="684"/>
      <c r="J719" s="684"/>
      <c r="K719" s="684"/>
      <c r="L719" s="684"/>
      <c r="M719" s="685"/>
    </row>
    <row r="720" spans="4:13" s="682" customFormat="1" x14ac:dyDescent="0.2">
      <c r="D720" s="683"/>
      <c r="F720" s="684"/>
      <c r="G720" s="684"/>
      <c r="H720" s="684"/>
      <c r="I720" s="684"/>
      <c r="J720" s="684"/>
      <c r="K720" s="684"/>
      <c r="L720" s="684"/>
      <c r="M720" s="685"/>
    </row>
    <row r="721" spans="4:13" s="682" customFormat="1" x14ac:dyDescent="0.2">
      <c r="D721" s="683"/>
      <c r="F721" s="684"/>
      <c r="G721" s="684"/>
      <c r="H721" s="684"/>
      <c r="I721" s="684"/>
      <c r="J721" s="684"/>
      <c r="K721" s="684"/>
      <c r="L721" s="684"/>
      <c r="M721" s="685"/>
    </row>
    <row r="722" spans="4:13" s="682" customFormat="1" x14ac:dyDescent="0.2">
      <c r="D722" s="683"/>
      <c r="F722" s="684"/>
      <c r="G722" s="684"/>
      <c r="H722" s="684"/>
      <c r="I722" s="684"/>
      <c r="J722" s="684"/>
      <c r="K722" s="684"/>
      <c r="L722" s="684"/>
      <c r="M722" s="685"/>
    </row>
    <row r="723" spans="4:13" s="682" customFormat="1" x14ac:dyDescent="0.2">
      <c r="D723" s="683"/>
      <c r="F723" s="684"/>
      <c r="G723" s="684"/>
      <c r="H723" s="684"/>
      <c r="I723" s="684"/>
      <c r="J723" s="684"/>
      <c r="K723" s="684"/>
      <c r="L723" s="684"/>
      <c r="M723" s="685"/>
    </row>
    <row r="724" spans="4:13" s="682" customFormat="1" x14ac:dyDescent="0.2">
      <c r="D724" s="683"/>
      <c r="F724" s="684"/>
      <c r="G724" s="684"/>
      <c r="H724" s="684"/>
      <c r="I724" s="684"/>
      <c r="J724" s="684"/>
      <c r="K724" s="684"/>
      <c r="L724" s="684"/>
      <c r="M724" s="685"/>
    </row>
    <row r="725" spans="4:13" s="682" customFormat="1" x14ac:dyDescent="0.2">
      <c r="D725" s="683"/>
      <c r="F725" s="684"/>
      <c r="G725" s="684"/>
      <c r="H725" s="684"/>
      <c r="I725" s="684"/>
      <c r="J725" s="684"/>
      <c r="K725" s="684"/>
      <c r="L725" s="684"/>
      <c r="M725" s="685"/>
    </row>
    <row r="726" spans="4:13" s="682" customFormat="1" x14ac:dyDescent="0.2">
      <c r="D726" s="683"/>
      <c r="F726" s="684"/>
      <c r="G726" s="684"/>
      <c r="H726" s="684"/>
      <c r="I726" s="684"/>
      <c r="J726" s="684"/>
      <c r="K726" s="684"/>
      <c r="L726" s="684"/>
      <c r="M726" s="685"/>
    </row>
    <row r="727" spans="4:13" s="682" customFormat="1" x14ac:dyDescent="0.2">
      <c r="D727" s="683"/>
      <c r="F727" s="684"/>
      <c r="G727" s="684"/>
      <c r="H727" s="684"/>
      <c r="I727" s="684"/>
      <c r="J727" s="684"/>
      <c r="K727" s="684"/>
      <c r="L727" s="684"/>
      <c r="M727" s="685"/>
    </row>
    <row r="728" spans="4:13" s="682" customFormat="1" x14ac:dyDescent="0.2">
      <c r="D728" s="683"/>
      <c r="F728" s="684"/>
      <c r="G728" s="684"/>
      <c r="H728" s="684"/>
      <c r="I728" s="684"/>
      <c r="J728" s="684"/>
      <c r="K728" s="684"/>
      <c r="L728" s="684"/>
      <c r="M728" s="685"/>
    </row>
    <row r="729" spans="4:13" s="682" customFormat="1" x14ac:dyDescent="0.2">
      <c r="D729" s="683"/>
      <c r="F729" s="684"/>
      <c r="G729" s="684"/>
      <c r="H729" s="684"/>
      <c r="I729" s="684"/>
      <c r="J729" s="684"/>
      <c r="K729" s="684"/>
      <c r="L729" s="684"/>
      <c r="M729" s="685"/>
    </row>
    <row r="730" spans="4:13" s="682" customFormat="1" x14ac:dyDescent="0.2">
      <c r="D730" s="683"/>
      <c r="F730" s="684"/>
      <c r="G730" s="684"/>
      <c r="H730" s="684"/>
      <c r="I730" s="684"/>
      <c r="J730" s="684"/>
      <c r="K730" s="684"/>
      <c r="L730" s="684"/>
      <c r="M730" s="685"/>
    </row>
    <row r="731" spans="4:13" s="682" customFormat="1" x14ac:dyDescent="0.2">
      <c r="D731" s="683"/>
      <c r="F731" s="684"/>
      <c r="G731" s="684"/>
      <c r="H731" s="684"/>
      <c r="I731" s="684"/>
      <c r="J731" s="684"/>
      <c r="K731" s="684"/>
      <c r="L731" s="684"/>
      <c r="M731" s="685"/>
    </row>
    <row r="732" spans="4:13" s="682" customFormat="1" x14ac:dyDescent="0.2">
      <c r="D732" s="683"/>
      <c r="F732" s="684"/>
      <c r="G732" s="684"/>
      <c r="H732" s="684"/>
      <c r="I732" s="684"/>
      <c r="J732" s="684"/>
      <c r="K732" s="684"/>
      <c r="L732" s="684"/>
      <c r="M732" s="685"/>
    </row>
    <row r="733" spans="4:13" s="682" customFormat="1" x14ac:dyDescent="0.2">
      <c r="D733" s="683"/>
      <c r="F733" s="684"/>
      <c r="G733" s="684"/>
      <c r="H733" s="684"/>
      <c r="I733" s="684"/>
      <c r="J733" s="684"/>
      <c r="K733" s="684"/>
      <c r="L733" s="684"/>
      <c r="M733" s="685"/>
    </row>
    <row r="734" spans="4:13" s="682" customFormat="1" x14ac:dyDescent="0.2">
      <c r="D734" s="683"/>
      <c r="F734" s="684"/>
      <c r="G734" s="684"/>
      <c r="H734" s="684"/>
      <c r="I734" s="684"/>
      <c r="J734" s="684"/>
      <c r="K734" s="684"/>
      <c r="L734" s="684"/>
      <c r="M734" s="685"/>
    </row>
    <row r="735" spans="4:13" s="682" customFormat="1" x14ac:dyDescent="0.2">
      <c r="D735" s="683"/>
      <c r="F735" s="684"/>
      <c r="G735" s="684"/>
      <c r="H735" s="684"/>
      <c r="I735" s="684"/>
      <c r="J735" s="684"/>
      <c r="K735" s="684"/>
      <c r="L735" s="684"/>
      <c r="M735" s="685"/>
    </row>
    <row r="736" spans="4:13" s="682" customFormat="1" x14ac:dyDescent="0.2">
      <c r="D736" s="683"/>
      <c r="F736" s="684"/>
      <c r="G736" s="684"/>
      <c r="H736" s="684"/>
      <c r="I736" s="684"/>
      <c r="J736" s="684"/>
      <c r="K736" s="684"/>
      <c r="L736" s="684"/>
      <c r="M736" s="685"/>
    </row>
    <row r="737" spans="4:13" s="682" customFormat="1" x14ac:dyDescent="0.2">
      <c r="D737" s="683"/>
      <c r="F737" s="684"/>
      <c r="G737" s="684"/>
      <c r="H737" s="684"/>
      <c r="I737" s="684"/>
      <c r="J737" s="684"/>
      <c r="K737" s="684"/>
      <c r="L737" s="684"/>
      <c r="M737" s="685"/>
    </row>
    <row r="738" spans="4:13" s="682" customFormat="1" x14ac:dyDescent="0.2">
      <c r="D738" s="683"/>
      <c r="F738" s="684"/>
      <c r="G738" s="684"/>
      <c r="H738" s="684"/>
      <c r="I738" s="684"/>
      <c r="J738" s="684"/>
      <c r="K738" s="684"/>
      <c r="L738" s="684"/>
      <c r="M738" s="685"/>
    </row>
    <row r="739" spans="4:13" s="682" customFormat="1" x14ac:dyDescent="0.2">
      <c r="D739" s="683"/>
      <c r="F739" s="684"/>
      <c r="G739" s="684"/>
      <c r="H739" s="684"/>
      <c r="I739" s="684"/>
      <c r="J739" s="684"/>
      <c r="K739" s="684"/>
      <c r="L739" s="684"/>
      <c r="M739" s="685"/>
    </row>
    <row r="740" spans="4:13" s="682" customFormat="1" x14ac:dyDescent="0.2">
      <c r="D740" s="683"/>
      <c r="F740" s="684"/>
      <c r="G740" s="684"/>
      <c r="H740" s="684"/>
      <c r="I740" s="684"/>
      <c r="J740" s="684"/>
      <c r="K740" s="684"/>
      <c r="L740" s="684"/>
      <c r="M740" s="685"/>
    </row>
    <row r="741" spans="4:13" s="682" customFormat="1" x14ac:dyDescent="0.2">
      <c r="D741" s="683"/>
      <c r="F741" s="684"/>
      <c r="G741" s="684"/>
      <c r="H741" s="684"/>
      <c r="I741" s="684"/>
      <c r="J741" s="684"/>
      <c r="K741" s="684"/>
      <c r="L741" s="684"/>
      <c r="M741" s="685"/>
    </row>
    <row r="742" spans="4:13" s="682" customFormat="1" x14ac:dyDescent="0.2">
      <c r="D742" s="683"/>
      <c r="F742" s="684"/>
      <c r="G742" s="684"/>
      <c r="H742" s="684"/>
      <c r="I742" s="684"/>
      <c r="J742" s="684"/>
      <c r="K742" s="684"/>
      <c r="L742" s="684"/>
      <c r="M742" s="685"/>
    </row>
    <row r="743" spans="4:13" s="682" customFormat="1" x14ac:dyDescent="0.2">
      <c r="D743" s="683"/>
      <c r="F743" s="684"/>
      <c r="G743" s="684"/>
      <c r="H743" s="684"/>
      <c r="I743" s="684"/>
      <c r="J743" s="684"/>
      <c r="K743" s="684"/>
      <c r="L743" s="684"/>
      <c r="M743" s="685"/>
    </row>
    <row r="744" spans="4:13" s="682" customFormat="1" x14ac:dyDescent="0.2">
      <c r="D744" s="683"/>
      <c r="F744" s="684"/>
      <c r="G744" s="684"/>
      <c r="H744" s="684"/>
      <c r="I744" s="684"/>
      <c r="J744" s="684"/>
      <c r="K744" s="684"/>
      <c r="L744" s="684"/>
      <c r="M744" s="685"/>
    </row>
    <row r="745" spans="4:13" s="682" customFormat="1" x14ac:dyDescent="0.2">
      <c r="D745" s="683"/>
      <c r="F745" s="684"/>
      <c r="G745" s="684"/>
      <c r="H745" s="684"/>
      <c r="I745" s="684"/>
      <c r="J745" s="684"/>
      <c r="K745" s="684"/>
      <c r="L745" s="684"/>
      <c r="M745" s="685"/>
    </row>
    <row r="746" spans="4:13" s="682" customFormat="1" x14ac:dyDescent="0.2">
      <c r="D746" s="683"/>
      <c r="F746" s="684"/>
      <c r="G746" s="684"/>
      <c r="H746" s="684"/>
      <c r="I746" s="684"/>
      <c r="J746" s="684"/>
      <c r="K746" s="684"/>
      <c r="L746" s="684"/>
      <c r="M746" s="685"/>
    </row>
    <row r="747" spans="4:13" s="682" customFormat="1" x14ac:dyDescent="0.2">
      <c r="D747" s="683"/>
      <c r="F747" s="684"/>
      <c r="G747" s="684"/>
      <c r="H747" s="684"/>
      <c r="I747" s="684"/>
      <c r="J747" s="684"/>
      <c r="K747" s="684"/>
      <c r="L747" s="684"/>
      <c r="M747" s="685"/>
    </row>
    <row r="748" spans="4:13" s="682" customFormat="1" x14ac:dyDescent="0.2">
      <c r="D748" s="683"/>
      <c r="F748" s="684"/>
      <c r="G748" s="684"/>
      <c r="H748" s="684"/>
      <c r="I748" s="684"/>
      <c r="J748" s="684"/>
      <c r="K748" s="684"/>
      <c r="L748" s="684"/>
      <c r="M748" s="685"/>
    </row>
    <row r="749" spans="4:13" s="682" customFormat="1" x14ac:dyDescent="0.2">
      <c r="D749" s="683"/>
      <c r="F749" s="684"/>
      <c r="G749" s="684"/>
      <c r="H749" s="684"/>
      <c r="I749" s="684"/>
      <c r="J749" s="684"/>
      <c r="K749" s="684"/>
      <c r="L749" s="684"/>
      <c r="M749" s="685"/>
    </row>
    <row r="750" spans="4:13" s="682" customFormat="1" x14ac:dyDescent="0.2">
      <c r="D750" s="683"/>
      <c r="F750" s="684"/>
      <c r="G750" s="684"/>
      <c r="H750" s="684"/>
      <c r="I750" s="684"/>
      <c r="J750" s="684"/>
      <c r="K750" s="684"/>
      <c r="L750" s="684"/>
      <c r="M750" s="685"/>
    </row>
    <row r="751" spans="4:13" s="682" customFormat="1" x14ac:dyDescent="0.2">
      <c r="D751" s="683"/>
      <c r="F751" s="684"/>
      <c r="G751" s="684"/>
      <c r="H751" s="684"/>
      <c r="I751" s="684"/>
      <c r="J751" s="684"/>
      <c r="K751" s="684"/>
      <c r="L751" s="684"/>
      <c r="M751" s="685"/>
    </row>
    <row r="752" spans="4:13" s="682" customFormat="1" x14ac:dyDescent="0.2">
      <c r="D752" s="683"/>
      <c r="F752" s="684"/>
      <c r="G752" s="684"/>
      <c r="H752" s="684"/>
      <c r="I752" s="684"/>
      <c r="J752" s="684"/>
      <c r="K752" s="684"/>
      <c r="L752" s="684"/>
      <c r="M752" s="685"/>
    </row>
    <row r="753" spans="4:13" s="682" customFormat="1" x14ac:dyDescent="0.2">
      <c r="D753" s="683"/>
      <c r="F753" s="684"/>
      <c r="G753" s="684"/>
      <c r="H753" s="684"/>
      <c r="I753" s="684"/>
      <c r="J753" s="684"/>
      <c r="K753" s="684"/>
      <c r="L753" s="684"/>
      <c r="M753" s="685"/>
    </row>
    <row r="754" spans="4:13" s="682" customFormat="1" x14ac:dyDescent="0.2">
      <c r="D754" s="683"/>
      <c r="F754" s="684"/>
      <c r="G754" s="684"/>
      <c r="H754" s="684"/>
      <c r="I754" s="684"/>
      <c r="J754" s="684"/>
      <c r="K754" s="684"/>
      <c r="L754" s="684"/>
      <c r="M754" s="685"/>
    </row>
    <row r="755" spans="4:13" s="682" customFormat="1" x14ac:dyDescent="0.2">
      <c r="D755" s="683"/>
      <c r="F755" s="684"/>
      <c r="G755" s="684"/>
      <c r="H755" s="684"/>
      <c r="I755" s="684"/>
      <c r="J755" s="684"/>
      <c r="K755" s="684"/>
      <c r="L755" s="684"/>
      <c r="M755" s="685"/>
    </row>
    <row r="756" spans="4:13" s="682" customFormat="1" x14ac:dyDescent="0.2">
      <c r="D756" s="683"/>
      <c r="F756" s="684"/>
      <c r="G756" s="684"/>
      <c r="H756" s="684"/>
      <c r="I756" s="684"/>
      <c r="J756" s="684"/>
      <c r="K756" s="684"/>
      <c r="L756" s="684"/>
      <c r="M756" s="685"/>
    </row>
    <row r="757" spans="4:13" s="682" customFormat="1" x14ac:dyDescent="0.2">
      <c r="D757" s="683"/>
      <c r="F757" s="684"/>
      <c r="G757" s="684"/>
      <c r="H757" s="684"/>
      <c r="I757" s="684"/>
      <c r="J757" s="684"/>
      <c r="K757" s="684"/>
      <c r="L757" s="684"/>
      <c r="M757" s="685"/>
    </row>
    <row r="758" spans="4:13" s="682" customFormat="1" x14ac:dyDescent="0.2">
      <c r="D758" s="683"/>
      <c r="F758" s="684"/>
      <c r="G758" s="684"/>
      <c r="H758" s="684"/>
      <c r="I758" s="684"/>
      <c r="J758" s="684"/>
      <c r="K758" s="684"/>
      <c r="L758" s="684"/>
      <c r="M758" s="685"/>
    </row>
    <row r="759" spans="4:13" s="682" customFormat="1" x14ac:dyDescent="0.2">
      <c r="D759" s="683"/>
      <c r="F759" s="684"/>
      <c r="G759" s="684"/>
      <c r="H759" s="684"/>
      <c r="I759" s="684"/>
      <c r="J759" s="684"/>
      <c r="K759" s="684"/>
      <c r="L759" s="684"/>
      <c r="M759" s="685"/>
    </row>
    <row r="760" spans="4:13" s="682" customFormat="1" x14ac:dyDescent="0.2">
      <c r="D760" s="683"/>
      <c r="F760" s="684"/>
      <c r="G760" s="684"/>
      <c r="H760" s="684"/>
      <c r="I760" s="684"/>
      <c r="J760" s="684"/>
      <c r="K760" s="684"/>
      <c r="L760" s="684"/>
      <c r="M760" s="685"/>
    </row>
    <row r="761" spans="4:13" s="682" customFormat="1" x14ac:dyDescent="0.2">
      <c r="D761" s="683"/>
      <c r="F761" s="684"/>
      <c r="G761" s="684"/>
      <c r="H761" s="684"/>
      <c r="I761" s="684"/>
      <c r="J761" s="684"/>
      <c r="K761" s="684"/>
      <c r="L761" s="684"/>
      <c r="M761" s="685"/>
    </row>
    <row r="762" spans="4:13" s="682" customFormat="1" x14ac:dyDescent="0.2">
      <c r="D762" s="683"/>
      <c r="F762" s="684"/>
      <c r="G762" s="684"/>
      <c r="H762" s="684"/>
      <c r="I762" s="684"/>
      <c r="J762" s="684"/>
      <c r="K762" s="684"/>
      <c r="L762" s="684"/>
      <c r="M762" s="685"/>
    </row>
    <row r="763" spans="4:13" s="682" customFormat="1" x14ac:dyDescent="0.2">
      <c r="D763" s="683"/>
      <c r="F763" s="684"/>
      <c r="G763" s="684"/>
      <c r="H763" s="684"/>
      <c r="I763" s="684"/>
      <c r="J763" s="684"/>
      <c r="K763" s="684"/>
      <c r="L763" s="684"/>
      <c r="M763" s="685"/>
    </row>
    <row r="764" spans="4:13" s="682" customFormat="1" x14ac:dyDescent="0.2">
      <c r="D764" s="683"/>
      <c r="F764" s="684"/>
      <c r="G764" s="684"/>
      <c r="H764" s="684"/>
      <c r="I764" s="684"/>
      <c r="J764" s="684"/>
      <c r="K764" s="684"/>
      <c r="L764" s="684"/>
      <c r="M764" s="685"/>
    </row>
    <row r="765" spans="4:13" s="682" customFormat="1" x14ac:dyDescent="0.2">
      <c r="D765" s="683"/>
      <c r="F765" s="684"/>
      <c r="G765" s="684"/>
      <c r="H765" s="684"/>
      <c r="I765" s="684"/>
      <c r="J765" s="684"/>
      <c r="K765" s="684"/>
      <c r="L765" s="684"/>
      <c r="M765" s="685"/>
    </row>
    <row r="766" spans="4:13" s="682" customFormat="1" x14ac:dyDescent="0.2">
      <c r="D766" s="683"/>
      <c r="F766" s="684"/>
      <c r="G766" s="684"/>
      <c r="H766" s="684"/>
      <c r="I766" s="684"/>
      <c r="J766" s="684"/>
      <c r="K766" s="684"/>
      <c r="L766" s="684"/>
      <c r="M766" s="685"/>
    </row>
    <row r="767" spans="4:13" s="682" customFormat="1" x14ac:dyDescent="0.2">
      <c r="D767" s="683"/>
      <c r="F767" s="684"/>
      <c r="G767" s="684"/>
      <c r="H767" s="684"/>
      <c r="I767" s="684"/>
      <c r="J767" s="684"/>
      <c r="K767" s="684"/>
      <c r="L767" s="684"/>
      <c r="M767" s="685"/>
    </row>
    <row r="768" spans="4:13" s="682" customFormat="1" x14ac:dyDescent="0.2">
      <c r="D768" s="683"/>
      <c r="F768" s="684"/>
      <c r="G768" s="684"/>
      <c r="H768" s="684"/>
      <c r="I768" s="684"/>
      <c r="J768" s="684"/>
      <c r="K768" s="684"/>
      <c r="L768" s="684"/>
      <c r="M768" s="685"/>
    </row>
    <row r="769" spans="4:13" s="682" customFormat="1" x14ac:dyDescent="0.2">
      <c r="D769" s="683"/>
      <c r="F769" s="684"/>
      <c r="G769" s="684"/>
      <c r="H769" s="684"/>
      <c r="I769" s="684"/>
      <c r="J769" s="684"/>
      <c r="K769" s="684"/>
      <c r="L769" s="684"/>
      <c r="M769" s="685"/>
    </row>
    <row r="770" spans="4:13" s="682" customFormat="1" x14ac:dyDescent="0.2">
      <c r="D770" s="683"/>
      <c r="F770" s="684"/>
      <c r="G770" s="684"/>
      <c r="H770" s="684"/>
      <c r="I770" s="684"/>
      <c r="J770" s="684"/>
      <c r="K770" s="684"/>
      <c r="L770" s="684"/>
      <c r="M770" s="685"/>
    </row>
    <row r="771" spans="4:13" s="682" customFormat="1" x14ac:dyDescent="0.2">
      <c r="D771" s="683"/>
      <c r="F771" s="684"/>
      <c r="G771" s="684"/>
      <c r="H771" s="684"/>
      <c r="I771" s="684"/>
      <c r="J771" s="684"/>
      <c r="K771" s="684"/>
      <c r="L771" s="684"/>
      <c r="M771" s="685"/>
    </row>
    <row r="772" spans="4:13" s="682" customFormat="1" x14ac:dyDescent="0.2">
      <c r="D772" s="683"/>
      <c r="F772" s="684"/>
      <c r="G772" s="684"/>
      <c r="H772" s="684"/>
      <c r="I772" s="684"/>
      <c r="J772" s="684"/>
      <c r="K772" s="684"/>
      <c r="L772" s="684"/>
      <c r="M772" s="685"/>
    </row>
    <row r="773" spans="4:13" s="682" customFormat="1" x14ac:dyDescent="0.2">
      <c r="D773" s="683"/>
      <c r="F773" s="684"/>
      <c r="G773" s="684"/>
      <c r="H773" s="684"/>
      <c r="I773" s="684"/>
      <c r="J773" s="684"/>
      <c r="K773" s="684"/>
      <c r="L773" s="684"/>
      <c r="M773" s="685"/>
    </row>
    <row r="774" spans="4:13" s="682" customFormat="1" x14ac:dyDescent="0.2">
      <c r="D774" s="683"/>
      <c r="F774" s="684"/>
      <c r="G774" s="684"/>
      <c r="H774" s="684"/>
      <c r="I774" s="684"/>
      <c r="J774" s="684"/>
      <c r="K774" s="684"/>
      <c r="L774" s="684"/>
      <c r="M774" s="685"/>
    </row>
    <row r="775" spans="4:13" s="682" customFormat="1" x14ac:dyDescent="0.2">
      <c r="D775" s="683"/>
      <c r="F775" s="684"/>
      <c r="G775" s="684"/>
      <c r="H775" s="684"/>
      <c r="I775" s="684"/>
      <c r="J775" s="684"/>
      <c r="K775" s="684"/>
      <c r="L775" s="684"/>
      <c r="M775" s="685"/>
    </row>
    <row r="776" spans="4:13" s="682" customFormat="1" x14ac:dyDescent="0.2">
      <c r="D776" s="683"/>
      <c r="F776" s="684"/>
      <c r="G776" s="684"/>
      <c r="H776" s="684"/>
      <c r="I776" s="684"/>
      <c r="J776" s="684"/>
      <c r="K776" s="684"/>
      <c r="L776" s="684"/>
      <c r="M776" s="685"/>
    </row>
    <row r="777" spans="4:13" s="682" customFormat="1" x14ac:dyDescent="0.2">
      <c r="D777" s="683"/>
      <c r="F777" s="684"/>
      <c r="G777" s="684"/>
      <c r="H777" s="684"/>
      <c r="I777" s="684"/>
      <c r="J777" s="684"/>
      <c r="K777" s="684"/>
      <c r="L777" s="684"/>
      <c r="M777" s="685"/>
    </row>
    <row r="778" spans="4:13" s="682" customFormat="1" x14ac:dyDescent="0.2">
      <c r="D778" s="683"/>
      <c r="F778" s="684"/>
      <c r="G778" s="684"/>
      <c r="H778" s="684"/>
      <c r="I778" s="684"/>
      <c r="J778" s="684"/>
      <c r="K778" s="684"/>
      <c r="L778" s="684"/>
      <c r="M778" s="685"/>
    </row>
    <row r="779" spans="4:13" s="682" customFormat="1" x14ac:dyDescent="0.2">
      <c r="D779" s="683"/>
      <c r="F779" s="684"/>
      <c r="G779" s="684"/>
      <c r="H779" s="684"/>
      <c r="I779" s="684"/>
      <c r="J779" s="684"/>
      <c r="K779" s="684"/>
      <c r="L779" s="684"/>
      <c r="M779" s="685"/>
    </row>
    <row r="780" spans="4:13" s="682" customFormat="1" x14ac:dyDescent="0.2">
      <c r="D780" s="683"/>
      <c r="F780" s="684"/>
      <c r="G780" s="684"/>
      <c r="H780" s="684"/>
      <c r="I780" s="684"/>
      <c r="J780" s="684"/>
      <c r="K780" s="684"/>
      <c r="L780" s="684"/>
      <c r="M780" s="685"/>
    </row>
    <row r="781" spans="4:13" s="682" customFormat="1" x14ac:dyDescent="0.2">
      <c r="D781" s="683"/>
      <c r="F781" s="684"/>
      <c r="G781" s="684"/>
      <c r="H781" s="684"/>
      <c r="I781" s="684"/>
      <c r="J781" s="684"/>
      <c r="K781" s="684"/>
      <c r="L781" s="684"/>
      <c r="M781" s="685"/>
    </row>
    <row r="782" spans="4:13" s="682" customFormat="1" x14ac:dyDescent="0.2">
      <c r="D782" s="683"/>
      <c r="F782" s="684"/>
      <c r="G782" s="684"/>
      <c r="H782" s="684"/>
      <c r="I782" s="684"/>
      <c r="J782" s="684"/>
      <c r="K782" s="684"/>
      <c r="L782" s="684"/>
      <c r="M782" s="685"/>
    </row>
    <row r="783" spans="4:13" s="682" customFormat="1" x14ac:dyDescent="0.2">
      <c r="D783" s="683"/>
      <c r="F783" s="684"/>
      <c r="G783" s="684"/>
      <c r="H783" s="684"/>
      <c r="I783" s="684"/>
      <c r="J783" s="684"/>
      <c r="K783" s="684"/>
      <c r="L783" s="684"/>
      <c r="M783" s="685"/>
    </row>
    <row r="784" spans="4:13" s="682" customFormat="1" x14ac:dyDescent="0.2">
      <c r="D784" s="683"/>
      <c r="F784" s="684"/>
      <c r="G784" s="684"/>
      <c r="H784" s="684"/>
      <c r="I784" s="684"/>
      <c r="J784" s="684"/>
      <c r="K784" s="684"/>
      <c r="L784" s="684"/>
      <c r="M784" s="685"/>
    </row>
    <row r="785" spans="4:13" s="682" customFormat="1" x14ac:dyDescent="0.2">
      <c r="D785" s="683"/>
      <c r="F785" s="684"/>
      <c r="G785" s="684"/>
      <c r="H785" s="684"/>
      <c r="I785" s="684"/>
      <c r="J785" s="684"/>
      <c r="K785" s="684"/>
      <c r="L785" s="684"/>
      <c r="M785" s="685"/>
    </row>
    <row r="786" spans="4:13" s="682" customFormat="1" x14ac:dyDescent="0.2">
      <c r="D786" s="683"/>
      <c r="F786" s="684"/>
      <c r="G786" s="684"/>
      <c r="H786" s="684"/>
      <c r="I786" s="684"/>
      <c r="J786" s="684"/>
      <c r="K786" s="684"/>
      <c r="L786" s="684"/>
      <c r="M786" s="685"/>
    </row>
    <row r="787" spans="4:13" s="682" customFormat="1" x14ac:dyDescent="0.2">
      <c r="D787" s="683"/>
      <c r="F787" s="684"/>
      <c r="G787" s="684"/>
      <c r="H787" s="684"/>
      <c r="I787" s="684"/>
      <c r="J787" s="684"/>
      <c r="K787" s="684"/>
      <c r="L787" s="684"/>
      <c r="M787" s="685"/>
    </row>
    <row r="788" spans="4:13" s="682" customFormat="1" x14ac:dyDescent="0.2">
      <c r="D788" s="683"/>
      <c r="F788" s="684"/>
      <c r="G788" s="684"/>
      <c r="H788" s="684"/>
      <c r="I788" s="684"/>
      <c r="J788" s="684"/>
      <c r="K788" s="684"/>
      <c r="L788" s="684"/>
      <c r="M788" s="685"/>
    </row>
    <row r="789" spans="4:13" s="682" customFormat="1" x14ac:dyDescent="0.2">
      <c r="D789" s="683"/>
      <c r="F789" s="684"/>
      <c r="G789" s="684"/>
      <c r="H789" s="684"/>
      <c r="I789" s="684"/>
      <c r="J789" s="684"/>
      <c r="K789" s="684"/>
      <c r="L789" s="684"/>
      <c r="M789" s="685"/>
    </row>
    <row r="790" spans="4:13" s="682" customFormat="1" x14ac:dyDescent="0.2">
      <c r="D790" s="683"/>
      <c r="F790" s="684"/>
      <c r="G790" s="684"/>
      <c r="H790" s="684"/>
      <c r="I790" s="684"/>
      <c r="J790" s="684"/>
      <c r="K790" s="684"/>
      <c r="L790" s="684"/>
      <c r="M790" s="685"/>
    </row>
    <row r="791" spans="4:13" s="682" customFormat="1" x14ac:dyDescent="0.2">
      <c r="D791" s="683"/>
      <c r="F791" s="684"/>
      <c r="G791" s="684"/>
      <c r="H791" s="684"/>
      <c r="I791" s="684"/>
      <c r="J791" s="684"/>
      <c r="K791" s="684"/>
      <c r="L791" s="684"/>
      <c r="M791" s="685"/>
    </row>
    <row r="792" spans="4:13" s="682" customFormat="1" x14ac:dyDescent="0.2">
      <c r="D792" s="683"/>
      <c r="F792" s="684"/>
      <c r="G792" s="684"/>
      <c r="H792" s="684"/>
      <c r="I792" s="684"/>
      <c r="J792" s="684"/>
      <c r="K792" s="684"/>
      <c r="L792" s="684"/>
      <c r="M792" s="685"/>
    </row>
    <row r="793" spans="4:13" s="682" customFormat="1" x14ac:dyDescent="0.2">
      <c r="D793" s="683"/>
      <c r="F793" s="684"/>
      <c r="G793" s="684"/>
      <c r="H793" s="684"/>
      <c r="I793" s="684"/>
      <c r="J793" s="684"/>
      <c r="K793" s="684"/>
      <c r="L793" s="684"/>
      <c r="M793" s="685"/>
    </row>
    <row r="794" spans="4:13" s="682" customFormat="1" x14ac:dyDescent="0.2">
      <c r="D794" s="683"/>
      <c r="F794" s="684"/>
      <c r="G794" s="684"/>
      <c r="H794" s="684"/>
      <c r="I794" s="684"/>
      <c r="J794" s="684"/>
      <c r="K794" s="684"/>
      <c r="L794" s="684"/>
      <c r="M794" s="685"/>
    </row>
    <row r="795" spans="4:13" s="682" customFormat="1" x14ac:dyDescent="0.2">
      <c r="D795" s="683"/>
      <c r="F795" s="684"/>
      <c r="G795" s="684"/>
      <c r="H795" s="684"/>
      <c r="I795" s="684"/>
      <c r="J795" s="684"/>
      <c r="K795" s="684"/>
      <c r="L795" s="684"/>
      <c r="M795" s="685"/>
    </row>
    <row r="796" spans="4:13" s="682" customFormat="1" x14ac:dyDescent="0.2">
      <c r="D796" s="683"/>
      <c r="F796" s="684"/>
      <c r="G796" s="684"/>
      <c r="H796" s="684"/>
      <c r="I796" s="684"/>
      <c r="J796" s="684"/>
      <c r="K796" s="684"/>
      <c r="L796" s="684"/>
      <c r="M796" s="685"/>
    </row>
    <row r="797" spans="4:13" s="682" customFormat="1" x14ac:dyDescent="0.2">
      <c r="D797" s="683"/>
      <c r="F797" s="684"/>
      <c r="G797" s="684"/>
      <c r="H797" s="684"/>
      <c r="I797" s="684"/>
      <c r="J797" s="684"/>
      <c r="K797" s="684"/>
      <c r="L797" s="684"/>
      <c r="M797" s="685"/>
    </row>
    <row r="798" spans="4:13" s="682" customFormat="1" x14ac:dyDescent="0.2">
      <c r="D798" s="683"/>
      <c r="F798" s="684"/>
      <c r="G798" s="684"/>
      <c r="H798" s="684"/>
      <c r="I798" s="684"/>
      <c r="J798" s="684"/>
      <c r="K798" s="684"/>
      <c r="L798" s="684"/>
      <c r="M798" s="685"/>
    </row>
    <row r="799" spans="4:13" s="682" customFormat="1" x14ac:dyDescent="0.2">
      <c r="D799" s="683"/>
      <c r="F799" s="684"/>
      <c r="G799" s="684"/>
      <c r="H799" s="684"/>
      <c r="I799" s="684"/>
      <c r="J799" s="684"/>
      <c r="K799" s="684"/>
      <c r="L799" s="684"/>
      <c r="M799" s="685"/>
    </row>
    <row r="800" spans="4:13" s="682" customFormat="1" x14ac:dyDescent="0.2">
      <c r="D800" s="683"/>
      <c r="F800" s="684"/>
      <c r="G800" s="684"/>
      <c r="H800" s="684"/>
      <c r="I800" s="684"/>
      <c r="J800" s="684"/>
      <c r="K800" s="684"/>
      <c r="L800" s="684"/>
      <c r="M800" s="685"/>
    </row>
    <row r="801" spans="4:13" s="682" customFormat="1" x14ac:dyDescent="0.2">
      <c r="D801" s="683"/>
      <c r="F801" s="684"/>
      <c r="G801" s="684"/>
      <c r="H801" s="684"/>
      <c r="I801" s="684"/>
      <c r="J801" s="684"/>
      <c r="K801" s="684"/>
      <c r="L801" s="684"/>
      <c r="M801" s="685"/>
    </row>
    <row r="802" spans="4:13" s="682" customFormat="1" x14ac:dyDescent="0.2">
      <c r="D802" s="683"/>
      <c r="F802" s="684"/>
      <c r="G802" s="684"/>
      <c r="H802" s="684"/>
      <c r="I802" s="684"/>
      <c r="J802" s="684"/>
      <c r="K802" s="684"/>
      <c r="L802" s="684"/>
      <c r="M802" s="685"/>
    </row>
    <row r="803" spans="4:13" s="682" customFormat="1" x14ac:dyDescent="0.2">
      <c r="D803" s="683"/>
      <c r="F803" s="684"/>
      <c r="G803" s="684"/>
      <c r="H803" s="684"/>
      <c r="I803" s="684"/>
      <c r="J803" s="684"/>
      <c r="K803" s="684"/>
      <c r="L803" s="684"/>
      <c r="M803" s="685"/>
    </row>
    <row r="804" spans="4:13" s="682" customFormat="1" x14ac:dyDescent="0.2">
      <c r="D804" s="683"/>
      <c r="F804" s="684"/>
      <c r="G804" s="684"/>
      <c r="H804" s="684"/>
      <c r="I804" s="684"/>
      <c r="J804" s="684"/>
      <c r="K804" s="684"/>
      <c r="L804" s="684"/>
      <c r="M804" s="685"/>
    </row>
    <row r="805" spans="4:13" s="682" customFormat="1" x14ac:dyDescent="0.2">
      <c r="D805" s="683"/>
      <c r="F805" s="684"/>
      <c r="G805" s="684"/>
      <c r="H805" s="684"/>
      <c r="I805" s="684"/>
      <c r="J805" s="684"/>
      <c r="K805" s="684"/>
      <c r="L805" s="684"/>
      <c r="M805" s="685"/>
    </row>
    <row r="806" spans="4:13" s="682" customFormat="1" x14ac:dyDescent="0.2">
      <c r="D806" s="683"/>
      <c r="F806" s="684"/>
      <c r="G806" s="684"/>
      <c r="H806" s="684"/>
      <c r="I806" s="684"/>
      <c r="J806" s="684"/>
      <c r="K806" s="684"/>
      <c r="L806" s="684"/>
      <c r="M806" s="685"/>
    </row>
    <row r="807" spans="4:13" s="682" customFormat="1" x14ac:dyDescent="0.2">
      <c r="D807" s="683"/>
      <c r="F807" s="684"/>
      <c r="G807" s="684"/>
      <c r="H807" s="684"/>
      <c r="I807" s="684"/>
      <c r="J807" s="684"/>
      <c r="K807" s="684"/>
      <c r="L807" s="684"/>
      <c r="M807" s="685"/>
    </row>
    <row r="808" spans="4:13" s="682" customFormat="1" x14ac:dyDescent="0.2">
      <c r="D808" s="683"/>
      <c r="F808" s="684"/>
      <c r="G808" s="684"/>
      <c r="H808" s="684"/>
      <c r="I808" s="684"/>
      <c r="J808" s="684"/>
      <c r="K808" s="684"/>
      <c r="L808" s="684"/>
      <c r="M808" s="685"/>
    </row>
    <row r="809" spans="4:13" s="682" customFormat="1" x14ac:dyDescent="0.2">
      <c r="D809" s="683"/>
      <c r="F809" s="684"/>
      <c r="G809" s="684"/>
      <c r="H809" s="684"/>
      <c r="I809" s="684"/>
      <c r="J809" s="684"/>
      <c r="K809" s="684"/>
      <c r="L809" s="684"/>
      <c r="M809" s="685"/>
    </row>
    <row r="810" spans="4:13" s="682" customFormat="1" x14ac:dyDescent="0.2">
      <c r="D810" s="683"/>
      <c r="F810" s="684"/>
      <c r="G810" s="684"/>
      <c r="H810" s="684"/>
      <c r="I810" s="684"/>
      <c r="J810" s="684"/>
      <c r="K810" s="684"/>
      <c r="L810" s="684"/>
      <c r="M810" s="685"/>
    </row>
    <row r="811" spans="4:13" s="682" customFormat="1" x14ac:dyDescent="0.2">
      <c r="D811" s="683"/>
      <c r="F811" s="684"/>
      <c r="G811" s="684"/>
      <c r="H811" s="684"/>
      <c r="I811" s="684"/>
      <c r="J811" s="684"/>
      <c r="K811" s="684"/>
      <c r="L811" s="684"/>
      <c r="M811" s="685"/>
    </row>
    <row r="812" spans="4:13" s="682" customFormat="1" x14ac:dyDescent="0.2">
      <c r="D812" s="683"/>
      <c r="F812" s="684"/>
      <c r="G812" s="684"/>
      <c r="H812" s="684"/>
      <c r="I812" s="684"/>
      <c r="J812" s="684"/>
      <c r="K812" s="684"/>
      <c r="L812" s="684"/>
      <c r="M812" s="685"/>
    </row>
    <row r="813" spans="4:13" s="682" customFormat="1" x14ac:dyDescent="0.2">
      <c r="D813" s="683"/>
      <c r="F813" s="684"/>
      <c r="G813" s="684"/>
      <c r="H813" s="684"/>
      <c r="I813" s="684"/>
      <c r="J813" s="684"/>
      <c r="K813" s="684"/>
      <c r="L813" s="684"/>
      <c r="M813" s="685"/>
    </row>
    <row r="814" spans="4:13" s="682" customFormat="1" x14ac:dyDescent="0.2">
      <c r="D814" s="683"/>
      <c r="F814" s="684"/>
      <c r="G814" s="684"/>
      <c r="H814" s="684"/>
      <c r="I814" s="684"/>
      <c r="J814" s="684"/>
      <c r="K814" s="684"/>
      <c r="L814" s="684"/>
      <c r="M814" s="685"/>
    </row>
    <row r="815" spans="4:13" s="682" customFormat="1" x14ac:dyDescent="0.2">
      <c r="D815" s="683"/>
      <c r="F815" s="684"/>
      <c r="G815" s="684"/>
      <c r="H815" s="684"/>
      <c r="I815" s="684"/>
      <c r="J815" s="684"/>
      <c r="K815" s="684"/>
      <c r="L815" s="684"/>
      <c r="M815" s="685"/>
    </row>
    <row r="816" spans="4:13" s="682" customFormat="1" x14ac:dyDescent="0.2">
      <c r="D816" s="683"/>
      <c r="F816" s="684"/>
      <c r="G816" s="684"/>
      <c r="H816" s="684"/>
      <c r="I816" s="684"/>
      <c r="J816" s="684"/>
      <c r="K816" s="684"/>
      <c r="L816" s="684"/>
      <c r="M816" s="685"/>
    </row>
    <row r="817" spans="4:13" s="682" customFormat="1" x14ac:dyDescent="0.2">
      <c r="D817" s="683"/>
      <c r="F817" s="684"/>
      <c r="G817" s="684"/>
      <c r="H817" s="684"/>
      <c r="I817" s="684"/>
      <c r="J817" s="684"/>
      <c r="K817" s="684"/>
      <c r="L817" s="684"/>
      <c r="M817" s="685"/>
    </row>
    <row r="818" spans="4:13" s="682" customFormat="1" x14ac:dyDescent="0.2">
      <c r="D818" s="683"/>
      <c r="F818" s="684"/>
      <c r="G818" s="684"/>
      <c r="H818" s="684"/>
      <c r="I818" s="684"/>
      <c r="J818" s="684"/>
      <c r="K818" s="684"/>
      <c r="L818" s="684"/>
      <c r="M818" s="685"/>
    </row>
    <row r="819" spans="4:13" s="682" customFormat="1" x14ac:dyDescent="0.2">
      <c r="D819" s="683"/>
      <c r="F819" s="684"/>
      <c r="G819" s="684"/>
      <c r="H819" s="684"/>
      <c r="I819" s="684"/>
      <c r="J819" s="684"/>
      <c r="K819" s="684"/>
      <c r="L819" s="684"/>
      <c r="M819" s="685"/>
    </row>
    <row r="820" spans="4:13" s="682" customFormat="1" x14ac:dyDescent="0.2">
      <c r="D820" s="683"/>
      <c r="F820" s="684"/>
      <c r="G820" s="684"/>
      <c r="H820" s="684"/>
      <c r="I820" s="684"/>
      <c r="J820" s="684"/>
      <c r="K820" s="684"/>
      <c r="L820" s="684"/>
      <c r="M820" s="685"/>
    </row>
    <row r="821" spans="4:13" s="682" customFormat="1" x14ac:dyDescent="0.2">
      <c r="D821" s="683"/>
      <c r="F821" s="684"/>
      <c r="G821" s="684"/>
      <c r="H821" s="684"/>
      <c r="I821" s="684"/>
      <c r="J821" s="684"/>
      <c r="K821" s="684"/>
      <c r="L821" s="684"/>
      <c r="M821" s="685"/>
    </row>
    <row r="822" spans="4:13" s="682" customFormat="1" x14ac:dyDescent="0.2">
      <c r="D822" s="683"/>
      <c r="F822" s="684"/>
      <c r="G822" s="684"/>
      <c r="H822" s="684"/>
      <c r="I822" s="684"/>
      <c r="J822" s="684"/>
      <c r="K822" s="684"/>
      <c r="L822" s="684"/>
      <c r="M822" s="685"/>
    </row>
    <row r="823" spans="4:13" s="682" customFormat="1" x14ac:dyDescent="0.2">
      <c r="D823" s="683"/>
      <c r="F823" s="684"/>
      <c r="G823" s="684"/>
      <c r="H823" s="684"/>
      <c r="I823" s="684"/>
      <c r="J823" s="684"/>
      <c r="K823" s="684"/>
      <c r="L823" s="684"/>
      <c r="M823" s="685"/>
    </row>
    <row r="824" spans="4:13" s="682" customFormat="1" x14ac:dyDescent="0.2">
      <c r="D824" s="683"/>
      <c r="F824" s="684"/>
      <c r="G824" s="684"/>
      <c r="H824" s="684"/>
      <c r="I824" s="684"/>
      <c r="J824" s="684"/>
      <c r="K824" s="684"/>
      <c r="L824" s="684"/>
      <c r="M824" s="685"/>
    </row>
    <row r="825" spans="4:13" s="682" customFormat="1" x14ac:dyDescent="0.2">
      <c r="D825" s="683"/>
      <c r="F825" s="684"/>
      <c r="G825" s="684"/>
      <c r="H825" s="684"/>
      <c r="I825" s="684"/>
      <c r="J825" s="684"/>
      <c r="K825" s="684"/>
      <c r="L825" s="684"/>
      <c r="M825" s="685"/>
    </row>
    <row r="826" spans="4:13" s="682" customFormat="1" x14ac:dyDescent="0.2">
      <c r="D826" s="683"/>
      <c r="F826" s="684"/>
      <c r="G826" s="684"/>
      <c r="H826" s="684"/>
      <c r="I826" s="684"/>
      <c r="J826" s="684"/>
      <c r="K826" s="684"/>
      <c r="L826" s="684"/>
      <c r="M826" s="685"/>
    </row>
    <row r="827" spans="4:13" s="682" customFormat="1" x14ac:dyDescent="0.2">
      <c r="D827" s="683"/>
      <c r="F827" s="684"/>
      <c r="G827" s="684"/>
      <c r="H827" s="684"/>
      <c r="I827" s="684"/>
      <c r="J827" s="684"/>
      <c r="K827" s="684"/>
      <c r="L827" s="684"/>
      <c r="M827" s="685"/>
    </row>
    <row r="828" spans="4:13" s="682" customFormat="1" x14ac:dyDescent="0.2">
      <c r="D828" s="683"/>
      <c r="F828" s="684"/>
      <c r="G828" s="684"/>
      <c r="H828" s="684"/>
      <c r="I828" s="684"/>
      <c r="J828" s="684"/>
      <c r="K828" s="684"/>
      <c r="L828" s="684"/>
      <c r="M828" s="685"/>
    </row>
    <row r="829" spans="4:13" s="682" customFormat="1" x14ac:dyDescent="0.2">
      <c r="D829" s="683"/>
      <c r="F829" s="684"/>
      <c r="G829" s="684"/>
      <c r="H829" s="684"/>
      <c r="I829" s="684"/>
      <c r="J829" s="684"/>
      <c r="K829" s="684"/>
      <c r="L829" s="684"/>
      <c r="M829" s="685"/>
    </row>
    <row r="830" spans="4:13" s="682" customFormat="1" x14ac:dyDescent="0.2">
      <c r="D830" s="683"/>
      <c r="F830" s="684"/>
      <c r="G830" s="684"/>
      <c r="H830" s="684"/>
      <c r="I830" s="684"/>
      <c r="J830" s="684"/>
      <c r="K830" s="684"/>
      <c r="L830" s="684"/>
      <c r="M830" s="685"/>
    </row>
    <row r="831" spans="4:13" s="682" customFormat="1" x14ac:dyDescent="0.2">
      <c r="D831" s="683"/>
      <c r="F831" s="684"/>
      <c r="G831" s="684"/>
      <c r="H831" s="684"/>
      <c r="I831" s="684"/>
      <c r="J831" s="684"/>
      <c r="K831" s="684"/>
      <c r="L831" s="684"/>
      <c r="M831" s="685"/>
    </row>
    <row r="832" spans="4:13" s="682" customFormat="1" x14ac:dyDescent="0.2">
      <c r="D832" s="683"/>
      <c r="F832" s="684"/>
      <c r="G832" s="684"/>
      <c r="H832" s="684"/>
      <c r="I832" s="684"/>
      <c r="J832" s="684"/>
      <c r="K832" s="684"/>
      <c r="L832" s="684"/>
      <c r="M832" s="685"/>
    </row>
    <row r="833" spans="4:13" s="682" customFormat="1" x14ac:dyDescent="0.2">
      <c r="D833" s="683"/>
      <c r="F833" s="684"/>
      <c r="G833" s="684"/>
      <c r="H833" s="684"/>
      <c r="I833" s="684"/>
      <c r="J833" s="684"/>
      <c r="K833" s="684"/>
      <c r="L833" s="684"/>
      <c r="M833" s="685"/>
    </row>
    <row r="834" spans="4:13" s="682" customFormat="1" x14ac:dyDescent="0.2">
      <c r="D834" s="683"/>
      <c r="F834" s="684"/>
      <c r="G834" s="684"/>
      <c r="H834" s="684"/>
      <c r="I834" s="684"/>
      <c r="J834" s="684"/>
      <c r="K834" s="684"/>
      <c r="L834" s="684"/>
      <c r="M834" s="685"/>
    </row>
    <row r="835" spans="4:13" s="682" customFormat="1" x14ac:dyDescent="0.2">
      <c r="D835" s="683"/>
      <c r="F835" s="684"/>
      <c r="G835" s="684"/>
      <c r="H835" s="684"/>
      <c r="I835" s="684"/>
      <c r="J835" s="684"/>
      <c r="K835" s="684"/>
      <c r="L835" s="684"/>
      <c r="M835" s="685"/>
    </row>
    <row r="836" spans="4:13" s="682" customFormat="1" x14ac:dyDescent="0.2">
      <c r="D836" s="683"/>
      <c r="F836" s="684"/>
      <c r="G836" s="684"/>
      <c r="H836" s="684"/>
      <c r="I836" s="684"/>
      <c r="J836" s="684"/>
      <c r="K836" s="684"/>
      <c r="L836" s="684"/>
      <c r="M836" s="685"/>
    </row>
    <row r="837" spans="4:13" s="682" customFormat="1" x14ac:dyDescent="0.2">
      <c r="D837" s="683"/>
      <c r="F837" s="684"/>
      <c r="G837" s="684"/>
      <c r="H837" s="684"/>
      <c r="I837" s="684"/>
      <c r="J837" s="684"/>
      <c r="K837" s="684"/>
      <c r="L837" s="684"/>
      <c r="M837" s="685"/>
    </row>
    <row r="838" spans="4:13" s="682" customFormat="1" x14ac:dyDescent="0.2">
      <c r="D838" s="683"/>
      <c r="F838" s="684"/>
      <c r="G838" s="684"/>
      <c r="H838" s="684"/>
      <c r="I838" s="684"/>
      <c r="J838" s="684"/>
      <c r="K838" s="684"/>
      <c r="L838" s="684"/>
      <c r="M838" s="685"/>
    </row>
    <row r="839" spans="4:13" s="682" customFormat="1" x14ac:dyDescent="0.2">
      <c r="D839" s="683"/>
      <c r="F839" s="684"/>
      <c r="G839" s="684"/>
      <c r="H839" s="684"/>
      <c r="I839" s="684"/>
      <c r="J839" s="684"/>
      <c r="K839" s="684"/>
      <c r="L839" s="684"/>
      <c r="M839" s="685"/>
    </row>
    <row r="840" spans="4:13" s="682" customFormat="1" x14ac:dyDescent="0.2">
      <c r="D840" s="683"/>
      <c r="F840" s="684"/>
      <c r="G840" s="684"/>
      <c r="H840" s="684"/>
      <c r="I840" s="684"/>
      <c r="J840" s="684"/>
      <c r="K840" s="684"/>
      <c r="L840" s="684"/>
      <c r="M840" s="685"/>
    </row>
    <row r="841" spans="4:13" s="682" customFormat="1" x14ac:dyDescent="0.2">
      <c r="D841" s="683"/>
      <c r="F841" s="684"/>
      <c r="G841" s="684"/>
      <c r="H841" s="684"/>
      <c r="I841" s="684"/>
      <c r="J841" s="684"/>
      <c r="K841" s="684"/>
      <c r="L841" s="684"/>
      <c r="M841" s="685"/>
    </row>
    <row r="842" spans="4:13" s="682" customFormat="1" x14ac:dyDescent="0.2">
      <c r="D842" s="683"/>
      <c r="F842" s="684"/>
      <c r="G842" s="684"/>
      <c r="H842" s="684"/>
      <c r="I842" s="684"/>
      <c r="J842" s="684"/>
      <c r="K842" s="684"/>
      <c r="L842" s="684"/>
      <c r="M842" s="685"/>
    </row>
    <row r="843" spans="4:13" s="682" customFormat="1" x14ac:dyDescent="0.2">
      <c r="D843" s="683"/>
      <c r="F843" s="684"/>
      <c r="G843" s="684"/>
      <c r="H843" s="684"/>
      <c r="I843" s="684"/>
      <c r="J843" s="684"/>
      <c r="K843" s="684"/>
      <c r="L843" s="684"/>
      <c r="M843" s="685"/>
    </row>
    <row r="844" spans="4:13" s="682" customFormat="1" x14ac:dyDescent="0.2">
      <c r="D844" s="683"/>
      <c r="F844" s="684"/>
      <c r="G844" s="684"/>
      <c r="H844" s="684"/>
      <c r="I844" s="684"/>
      <c r="J844" s="684"/>
      <c r="K844" s="684"/>
      <c r="L844" s="684"/>
      <c r="M844" s="685"/>
    </row>
    <row r="845" spans="4:13" s="682" customFormat="1" x14ac:dyDescent="0.2">
      <c r="D845" s="683"/>
      <c r="F845" s="684"/>
      <c r="G845" s="684"/>
      <c r="H845" s="684"/>
      <c r="I845" s="684"/>
      <c r="J845" s="684"/>
      <c r="K845" s="684"/>
      <c r="L845" s="684"/>
      <c r="M845" s="685"/>
    </row>
    <row r="846" spans="4:13" s="682" customFormat="1" x14ac:dyDescent="0.2">
      <c r="D846" s="683"/>
      <c r="F846" s="684"/>
      <c r="G846" s="684"/>
      <c r="H846" s="684"/>
      <c r="I846" s="684"/>
      <c r="J846" s="684"/>
      <c r="K846" s="684"/>
      <c r="L846" s="684"/>
      <c r="M846" s="685"/>
    </row>
    <row r="847" spans="4:13" s="682" customFormat="1" x14ac:dyDescent="0.2">
      <c r="D847" s="683"/>
      <c r="F847" s="684"/>
      <c r="G847" s="684"/>
      <c r="H847" s="684"/>
      <c r="I847" s="684"/>
      <c r="J847" s="684"/>
      <c r="K847" s="684"/>
      <c r="L847" s="684"/>
      <c r="M847" s="685"/>
    </row>
    <row r="848" spans="4:13" s="682" customFormat="1" x14ac:dyDescent="0.2">
      <c r="D848" s="683"/>
      <c r="F848" s="684"/>
      <c r="G848" s="684"/>
      <c r="H848" s="684"/>
      <c r="I848" s="684"/>
      <c r="J848" s="684"/>
      <c r="K848" s="684"/>
      <c r="L848" s="684"/>
      <c r="M848" s="685"/>
    </row>
    <row r="849" spans="4:13" s="682" customFormat="1" x14ac:dyDescent="0.2">
      <c r="D849" s="683"/>
      <c r="F849" s="684"/>
      <c r="G849" s="684"/>
      <c r="H849" s="684"/>
      <c r="I849" s="684"/>
      <c r="J849" s="684"/>
      <c r="K849" s="684"/>
      <c r="L849" s="684"/>
      <c r="M849" s="685"/>
    </row>
    <row r="850" spans="4:13" s="682" customFormat="1" x14ac:dyDescent="0.2">
      <c r="D850" s="683"/>
      <c r="F850" s="684"/>
      <c r="G850" s="684"/>
      <c r="H850" s="684"/>
      <c r="I850" s="684"/>
      <c r="J850" s="684"/>
      <c r="K850" s="684"/>
      <c r="L850" s="684"/>
      <c r="M850" s="685"/>
    </row>
    <row r="851" spans="4:13" s="682" customFormat="1" x14ac:dyDescent="0.2">
      <c r="D851" s="683"/>
      <c r="F851" s="684"/>
      <c r="G851" s="684"/>
      <c r="H851" s="684"/>
      <c r="I851" s="684"/>
      <c r="J851" s="684"/>
      <c r="K851" s="684"/>
      <c r="L851" s="684"/>
      <c r="M851" s="685"/>
    </row>
    <row r="852" spans="4:13" s="682" customFormat="1" x14ac:dyDescent="0.2">
      <c r="D852" s="683"/>
      <c r="F852" s="684"/>
      <c r="G852" s="684"/>
      <c r="H852" s="684"/>
      <c r="I852" s="684"/>
      <c r="J852" s="684"/>
      <c r="K852" s="684"/>
      <c r="L852" s="684"/>
      <c r="M852" s="685"/>
    </row>
    <row r="853" spans="4:13" s="682" customFormat="1" x14ac:dyDescent="0.2">
      <c r="D853" s="683"/>
      <c r="F853" s="684"/>
      <c r="G853" s="684"/>
      <c r="H853" s="684"/>
      <c r="I853" s="684"/>
      <c r="J853" s="684"/>
      <c r="K853" s="684"/>
      <c r="L853" s="684"/>
      <c r="M853" s="685"/>
    </row>
    <row r="854" spans="4:13" s="682" customFormat="1" x14ac:dyDescent="0.2">
      <c r="D854" s="683"/>
      <c r="F854" s="684"/>
      <c r="G854" s="684"/>
      <c r="H854" s="684"/>
      <c r="I854" s="684"/>
      <c r="J854" s="684"/>
      <c r="K854" s="684"/>
      <c r="L854" s="684"/>
      <c r="M854" s="685"/>
    </row>
    <row r="855" spans="4:13" s="682" customFormat="1" x14ac:dyDescent="0.2">
      <c r="D855" s="683"/>
      <c r="F855" s="684"/>
      <c r="G855" s="684"/>
      <c r="H855" s="684"/>
      <c r="I855" s="684"/>
      <c r="J855" s="684"/>
      <c r="K855" s="684"/>
      <c r="L855" s="684"/>
      <c r="M855" s="685"/>
    </row>
    <row r="856" spans="4:13" s="682" customFormat="1" x14ac:dyDescent="0.2">
      <c r="D856" s="683"/>
      <c r="F856" s="684"/>
      <c r="G856" s="684"/>
      <c r="H856" s="684"/>
      <c r="I856" s="684"/>
      <c r="J856" s="684"/>
      <c r="K856" s="684"/>
      <c r="L856" s="684"/>
      <c r="M856" s="685"/>
    </row>
    <row r="857" spans="4:13" s="682" customFormat="1" x14ac:dyDescent="0.2">
      <c r="D857" s="683"/>
      <c r="F857" s="684"/>
      <c r="G857" s="684"/>
      <c r="H857" s="684"/>
      <c r="I857" s="684"/>
      <c r="J857" s="684"/>
      <c r="K857" s="684"/>
      <c r="L857" s="684"/>
      <c r="M857" s="685"/>
    </row>
    <row r="858" spans="4:13" s="682" customFormat="1" x14ac:dyDescent="0.2">
      <c r="D858" s="683"/>
      <c r="F858" s="684"/>
      <c r="G858" s="684"/>
      <c r="H858" s="684"/>
      <c r="I858" s="684"/>
      <c r="J858" s="684"/>
      <c r="K858" s="684"/>
      <c r="L858" s="684"/>
      <c r="M858" s="685"/>
    </row>
    <row r="859" spans="4:13" s="682" customFormat="1" x14ac:dyDescent="0.2">
      <c r="D859" s="683"/>
      <c r="F859" s="684"/>
      <c r="G859" s="684"/>
      <c r="H859" s="684"/>
      <c r="I859" s="684"/>
      <c r="J859" s="684"/>
      <c r="K859" s="684"/>
      <c r="L859" s="684"/>
      <c r="M859" s="685"/>
    </row>
    <row r="860" spans="4:13" s="682" customFormat="1" x14ac:dyDescent="0.2">
      <c r="D860" s="683"/>
      <c r="F860" s="684"/>
      <c r="G860" s="684"/>
      <c r="H860" s="684"/>
      <c r="I860" s="684"/>
      <c r="J860" s="684"/>
      <c r="K860" s="684"/>
      <c r="L860" s="684"/>
      <c r="M860" s="685"/>
    </row>
    <row r="861" spans="4:13" s="682" customFormat="1" x14ac:dyDescent="0.2">
      <c r="D861" s="683"/>
      <c r="F861" s="684"/>
      <c r="G861" s="684"/>
      <c r="H861" s="684"/>
      <c r="I861" s="684"/>
      <c r="J861" s="684"/>
      <c r="K861" s="684"/>
      <c r="L861" s="684"/>
      <c r="M861" s="685"/>
    </row>
    <row r="862" spans="4:13" s="682" customFormat="1" x14ac:dyDescent="0.2">
      <c r="D862" s="683"/>
      <c r="F862" s="684"/>
      <c r="G862" s="684"/>
      <c r="H862" s="684"/>
      <c r="I862" s="684"/>
      <c r="J862" s="684"/>
      <c r="K862" s="684"/>
      <c r="L862" s="684"/>
      <c r="M862" s="685"/>
    </row>
    <row r="863" spans="4:13" s="682" customFormat="1" x14ac:dyDescent="0.2">
      <c r="D863" s="683"/>
      <c r="F863" s="684"/>
      <c r="G863" s="684"/>
      <c r="H863" s="684"/>
      <c r="I863" s="684"/>
      <c r="J863" s="684"/>
      <c r="K863" s="684"/>
      <c r="L863" s="684"/>
      <c r="M863" s="685"/>
    </row>
    <row r="864" spans="4:13" s="682" customFormat="1" x14ac:dyDescent="0.2">
      <c r="D864" s="683"/>
      <c r="F864" s="684"/>
      <c r="G864" s="684"/>
      <c r="H864" s="684"/>
      <c r="I864" s="684"/>
      <c r="J864" s="684"/>
      <c r="K864" s="684"/>
      <c r="L864" s="684"/>
      <c r="M864" s="685"/>
    </row>
    <row r="865" spans="4:13" s="682" customFormat="1" x14ac:dyDescent="0.2">
      <c r="D865" s="683"/>
      <c r="F865" s="684"/>
      <c r="G865" s="684"/>
      <c r="H865" s="684"/>
      <c r="I865" s="684"/>
      <c r="J865" s="684"/>
      <c r="K865" s="684"/>
      <c r="L865" s="684"/>
      <c r="M865" s="685"/>
    </row>
    <row r="866" spans="4:13" s="682" customFormat="1" x14ac:dyDescent="0.2">
      <c r="D866" s="683"/>
      <c r="F866" s="684"/>
      <c r="G866" s="684"/>
      <c r="H866" s="684"/>
      <c r="I866" s="684"/>
      <c r="J866" s="684"/>
      <c r="K866" s="684"/>
      <c r="L866" s="684"/>
      <c r="M866" s="685"/>
    </row>
    <row r="867" spans="4:13" s="682" customFormat="1" x14ac:dyDescent="0.2">
      <c r="D867" s="683"/>
      <c r="F867" s="684"/>
      <c r="G867" s="684"/>
      <c r="H867" s="684"/>
      <c r="I867" s="684"/>
      <c r="J867" s="684"/>
      <c r="K867" s="684"/>
      <c r="L867" s="684"/>
      <c r="M867" s="685"/>
    </row>
    <row r="868" spans="4:13" s="682" customFormat="1" x14ac:dyDescent="0.2">
      <c r="D868" s="683"/>
      <c r="F868" s="684"/>
      <c r="G868" s="684"/>
      <c r="H868" s="684"/>
      <c r="I868" s="684"/>
      <c r="J868" s="684"/>
      <c r="K868" s="684"/>
      <c r="L868" s="684"/>
      <c r="M868" s="685"/>
    </row>
    <row r="869" spans="4:13" s="682" customFormat="1" x14ac:dyDescent="0.2">
      <c r="D869" s="683"/>
      <c r="F869" s="684"/>
      <c r="G869" s="684"/>
      <c r="H869" s="684"/>
      <c r="I869" s="684"/>
      <c r="J869" s="684"/>
      <c r="K869" s="684"/>
      <c r="L869" s="684"/>
      <c r="M869" s="685"/>
    </row>
    <row r="870" spans="4:13" s="682" customFormat="1" x14ac:dyDescent="0.2">
      <c r="D870" s="683"/>
      <c r="F870" s="684"/>
      <c r="G870" s="684"/>
      <c r="H870" s="684"/>
      <c r="I870" s="684"/>
      <c r="J870" s="684"/>
      <c r="K870" s="684"/>
      <c r="L870" s="684"/>
      <c r="M870" s="685"/>
    </row>
    <row r="871" spans="4:13" s="682" customFormat="1" x14ac:dyDescent="0.2">
      <c r="D871" s="683"/>
      <c r="F871" s="684"/>
      <c r="G871" s="684"/>
      <c r="H871" s="684"/>
      <c r="I871" s="684"/>
      <c r="J871" s="684"/>
      <c r="K871" s="684"/>
      <c r="L871" s="684"/>
      <c r="M871" s="685"/>
    </row>
    <row r="872" spans="4:13" s="682" customFormat="1" x14ac:dyDescent="0.2">
      <c r="D872" s="683"/>
      <c r="F872" s="684"/>
      <c r="G872" s="684"/>
      <c r="H872" s="684"/>
      <c r="I872" s="684"/>
      <c r="J872" s="684"/>
      <c r="K872" s="684"/>
      <c r="L872" s="684"/>
      <c r="M872" s="685"/>
    </row>
    <row r="873" spans="4:13" s="682" customFormat="1" x14ac:dyDescent="0.2">
      <c r="D873" s="683"/>
      <c r="F873" s="684"/>
      <c r="G873" s="684"/>
      <c r="H873" s="684"/>
      <c r="I873" s="684"/>
      <c r="J873" s="684"/>
      <c r="K873" s="684"/>
      <c r="L873" s="684"/>
      <c r="M873" s="685"/>
    </row>
    <row r="874" spans="4:13" s="682" customFormat="1" x14ac:dyDescent="0.2">
      <c r="D874" s="683"/>
      <c r="F874" s="684"/>
      <c r="G874" s="684"/>
      <c r="H874" s="684"/>
      <c r="I874" s="684"/>
      <c r="J874" s="684"/>
      <c r="K874" s="684"/>
      <c r="L874" s="684"/>
      <c r="M874" s="685"/>
    </row>
    <row r="875" spans="4:13" s="682" customFormat="1" x14ac:dyDescent="0.2">
      <c r="D875" s="683"/>
      <c r="F875" s="684"/>
      <c r="G875" s="684"/>
      <c r="H875" s="684"/>
      <c r="I875" s="684"/>
      <c r="J875" s="684"/>
      <c r="K875" s="684"/>
      <c r="L875" s="684"/>
      <c r="M875" s="685"/>
    </row>
    <row r="876" spans="4:13" s="682" customFormat="1" x14ac:dyDescent="0.2">
      <c r="D876" s="683"/>
      <c r="F876" s="684"/>
      <c r="G876" s="684"/>
      <c r="H876" s="684"/>
      <c r="I876" s="684"/>
      <c r="J876" s="684"/>
      <c r="K876" s="684"/>
      <c r="L876" s="684"/>
      <c r="M876" s="685"/>
    </row>
    <row r="877" spans="4:13" s="682" customFormat="1" x14ac:dyDescent="0.2">
      <c r="D877" s="683"/>
      <c r="F877" s="684"/>
      <c r="G877" s="684"/>
      <c r="H877" s="684"/>
      <c r="I877" s="684"/>
      <c r="J877" s="684"/>
      <c r="K877" s="684"/>
      <c r="L877" s="684"/>
      <c r="M877" s="685"/>
    </row>
    <row r="878" spans="4:13" s="682" customFormat="1" x14ac:dyDescent="0.2">
      <c r="D878" s="683"/>
      <c r="F878" s="684"/>
      <c r="G878" s="684"/>
      <c r="H878" s="684"/>
      <c r="I878" s="684"/>
      <c r="J878" s="684"/>
      <c r="K878" s="684"/>
      <c r="L878" s="684"/>
      <c r="M878" s="685"/>
    </row>
    <row r="879" spans="4:13" s="682" customFormat="1" x14ac:dyDescent="0.2">
      <c r="D879" s="683"/>
      <c r="F879" s="684"/>
      <c r="G879" s="684"/>
      <c r="H879" s="684"/>
      <c r="I879" s="684"/>
      <c r="J879" s="684"/>
      <c r="K879" s="684"/>
      <c r="L879" s="684"/>
      <c r="M879" s="685"/>
    </row>
    <row r="880" spans="4:13" s="682" customFormat="1" x14ac:dyDescent="0.2">
      <c r="D880" s="683"/>
      <c r="F880" s="684"/>
      <c r="G880" s="684"/>
      <c r="H880" s="684"/>
      <c r="I880" s="684"/>
      <c r="J880" s="684"/>
      <c r="K880" s="684"/>
      <c r="L880" s="684"/>
      <c r="M880" s="685"/>
    </row>
    <row r="881" spans="4:13" s="682" customFormat="1" x14ac:dyDescent="0.2">
      <c r="D881" s="683"/>
      <c r="F881" s="684"/>
      <c r="G881" s="684"/>
      <c r="H881" s="684"/>
      <c r="I881" s="684"/>
      <c r="J881" s="684"/>
      <c r="K881" s="684"/>
      <c r="L881" s="684"/>
      <c r="M881" s="685"/>
    </row>
    <row r="882" spans="4:13" s="682" customFormat="1" x14ac:dyDescent="0.2">
      <c r="D882" s="683"/>
      <c r="F882" s="684"/>
      <c r="G882" s="684"/>
      <c r="H882" s="684"/>
      <c r="I882" s="684"/>
      <c r="J882" s="684"/>
      <c r="K882" s="684"/>
      <c r="L882" s="684"/>
      <c r="M882" s="685"/>
    </row>
    <row r="883" spans="4:13" s="682" customFormat="1" x14ac:dyDescent="0.2">
      <c r="D883" s="683"/>
      <c r="F883" s="684"/>
      <c r="G883" s="684"/>
      <c r="H883" s="684"/>
      <c r="I883" s="684"/>
      <c r="J883" s="684"/>
      <c r="K883" s="684"/>
      <c r="L883" s="684"/>
      <c r="M883" s="685"/>
    </row>
    <row r="884" spans="4:13" s="682" customFormat="1" x14ac:dyDescent="0.2">
      <c r="D884" s="683"/>
      <c r="F884" s="684"/>
      <c r="G884" s="684"/>
      <c r="H884" s="684"/>
      <c r="I884" s="684"/>
      <c r="J884" s="684"/>
      <c r="K884" s="684"/>
      <c r="L884" s="684"/>
      <c r="M884" s="685"/>
    </row>
    <row r="885" spans="4:13" s="682" customFormat="1" x14ac:dyDescent="0.2">
      <c r="D885" s="683"/>
      <c r="F885" s="684"/>
      <c r="G885" s="684"/>
      <c r="H885" s="684"/>
      <c r="I885" s="684"/>
      <c r="J885" s="684"/>
      <c r="K885" s="684"/>
      <c r="L885" s="684"/>
      <c r="M885" s="685"/>
    </row>
    <row r="886" spans="4:13" s="682" customFormat="1" x14ac:dyDescent="0.2">
      <c r="D886" s="683"/>
      <c r="F886" s="684"/>
      <c r="G886" s="684"/>
      <c r="H886" s="684"/>
      <c r="I886" s="684"/>
      <c r="J886" s="684"/>
      <c r="K886" s="684"/>
      <c r="L886" s="684"/>
      <c r="M886" s="685"/>
    </row>
    <row r="887" spans="4:13" s="682" customFormat="1" x14ac:dyDescent="0.2">
      <c r="D887" s="683"/>
      <c r="F887" s="684"/>
      <c r="G887" s="684"/>
      <c r="H887" s="684"/>
      <c r="I887" s="684"/>
      <c r="J887" s="684"/>
      <c r="K887" s="684"/>
      <c r="L887" s="684"/>
      <c r="M887" s="685"/>
    </row>
    <row r="888" spans="4:13" s="682" customFormat="1" x14ac:dyDescent="0.2">
      <c r="D888" s="683"/>
      <c r="F888" s="684"/>
      <c r="G888" s="684"/>
      <c r="H888" s="684"/>
      <c r="I888" s="684"/>
      <c r="J888" s="684"/>
      <c r="K888" s="684"/>
      <c r="L888" s="684"/>
      <c r="M888" s="685"/>
    </row>
    <row r="889" spans="4:13" s="682" customFormat="1" x14ac:dyDescent="0.2">
      <c r="D889" s="683"/>
      <c r="F889" s="684"/>
      <c r="G889" s="684"/>
      <c r="H889" s="684"/>
      <c r="I889" s="684"/>
      <c r="J889" s="684"/>
      <c r="K889" s="684"/>
      <c r="L889" s="684"/>
      <c r="M889" s="685"/>
    </row>
    <row r="890" spans="4:13" s="682" customFormat="1" x14ac:dyDescent="0.2">
      <c r="D890" s="683"/>
      <c r="F890" s="684"/>
      <c r="G890" s="684"/>
      <c r="H890" s="684"/>
      <c r="I890" s="684"/>
      <c r="J890" s="684"/>
      <c r="K890" s="684"/>
      <c r="L890" s="684"/>
      <c r="M890" s="685"/>
    </row>
    <row r="891" spans="4:13" s="682" customFormat="1" x14ac:dyDescent="0.2">
      <c r="D891" s="683"/>
      <c r="F891" s="684"/>
      <c r="G891" s="684"/>
      <c r="H891" s="684"/>
      <c r="I891" s="684"/>
      <c r="J891" s="684"/>
      <c r="K891" s="684"/>
      <c r="L891" s="684"/>
      <c r="M891" s="685"/>
    </row>
    <row r="892" spans="4:13" s="682" customFormat="1" x14ac:dyDescent="0.2">
      <c r="D892" s="683"/>
      <c r="F892" s="684"/>
      <c r="G892" s="684"/>
      <c r="H892" s="684"/>
      <c r="I892" s="684"/>
      <c r="J892" s="684"/>
      <c r="K892" s="684"/>
      <c r="L892" s="684"/>
      <c r="M892" s="685"/>
    </row>
    <row r="893" spans="4:13" s="682" customFormat="1" x14ac:dyDescent="0.2">
      <c r="D893" s="683"/>
      <c r="F893" s="684"/>
      <c r="G893" s="684"/>
      <c r="H893" s="684"/>
      <c r="I893" s="684"/>
      <c r="J893" s="684"/>
      <c r="K893" s="684"/>
      <c r="L893" s="684"/>
      <c r="M893" s="685"/>
    </row>
    <row r="894" spans="4:13" s="682" customFormat="1" x14ac:dyDescent="0.2">
      <c r="D894" s="683"/>
      <c r="F894" s="684"/>
      <c r="G894" s="684"/>
      <c r="H894" s="684"/>
      <c r="I894" s="684"/>
      <c r="J894" s="684"/>
      <c r="K894" s="684"/>
      <c r="L894" s="684"/>
      <c r="M894" s="685"/>
    </row>
    <row r="895" spans="4:13" s="682" customFormat="1" x14ac:dyDescent="0.2">
      <c r="D895" s="683"/>
      <c r="F895" s="684"/>
      <c r="G895" s="684"/>
      <c r="H895" s="684"/>
      <c r="I895" s="684"/>
      <c r="J895" s="684"/>
      <c r="K895" s="684"/>
      <c r="L895" s="684"/>
      <c r="M895" s="685"/>
    </row>
    <row r="896" spans="4:13" s="682" customFormat="1" x14ac:dyDescent="0.2">
      <c r="D896" s="683"/>
      <c r="F896" s="684"/>
      <c r="G896" s="684"/>
      <c r="H896" s="684"/>
      <c r="I896" s="684"/>
      <c r="J896" s="684"/>
      <c r="K896" s="684"/>
      <c r="L896" s="684"/>
      <c r="M896" s="685"/>
    </row>
    <row r="897" spans="4:13" s="682" customFormat="1" x14ac:dyDescent="0.2">
      <c r="D897" s="683"/>
      <c r="F897" s="684"/>
      <c r="G897" s="684"/>
      <c r="H897" s="684"/>
      <c r="I897" s="684"/>
      <c r="J897" s="684"/>
      <c r="K897" s="684"/>
      <c r="L897" s="684"/>
      <c r="M897" s="685"/>
    </row>
    <row r="898" spans="4:13" s="682" customFormat="1" x14ac:dyDescent="0.2">
      <c r="D898" s="683"/>
      <c r="F898" s="684"/>
      <c r="G898" s="684"/>
      <c r="H898" s="684"/>
      <c r="I898" s="684"/>
      <c r="J898" s="684"/>
      <c r="K898" s="684"/>
      <c r="L898" s="684"/>
      <c r="M898" s="685"/>
    </row>
    <row r="899" spans="4:13" s="682" customFormat="1" x14ac:dyDescent="0.2">
      <c r="D899" s="683"/>
      <c r="F899" s="684"/>
      <c r="G899" s="684"/>
      <c r="H899" s="684"/>
      <c r="I899" s="684"/>
      <c r="J899" s="684"/>
      <c r="K899" s="684"/>
      <c r="L899" s="684"/>
      <c r="M899" s="685"/>
    </row>
    <row r="900" spans="4:13" s="682" customFormat="1" x14ac:dyDescent="0.2">
      <c r="D900" s="683"/>
      <c r="F900" s="684"/>
      <c r="G900" s="684"/>
      <c r="H900" s="684"/>
      <c r="I900" s="684"/>
      <c r="J900" s="684"/>
      <c r="K900" s="684"/>
      <c r="L900" s="684"/>
      <c r="M900" s="685"/>
    </row>
    <row r="901" spans="4:13" s="682" customFormat="1" x14ac:dyDescent="0.2">
      <c r="D901" s="683"/>
      <c r="F901" s="684"/>
      <c r="G901" s="684"/>
      <c r="H901" s="684"/>
      <c r="I901" s="684"/>
      <c r="J901" s="684"/>
      <c r="K901" s="684"/>
      <c r="L901" s="684"/>
      <c r="M901" s="685"/>
    </row>
    <row r="902" spans="4:13" s="682" customFormat="1" x14ac:dyDescent="0.2">
      <c r="D902" s="683"/>
      <c r="F902" s="684"/>
      <c r="G902" s="684"/>
      <c r="H902" s="684"/>
      <c r="I902" s="684"/>
      <c r="J902" s="684"/>
      <c r="K902" s="684"/>
      <c r="L902" s="684"/>
      <c r="M902" s="685"/>
    </row>
    <row r="903" spans="4:13" s="682" customFormat="1" x14ac:dyDescent="0.2">
      <c r="D903" s="683"/>
      <c r="F903" s="684"/>
      <c r="G903" s="684"/>
      <c r="H903" s="684"/>
      <c r="I903" s="684"/>
      <c r="J903" s="684"/>
      <c r="K903" s="684"/>
      <c r="L903" s="684"/>
      <c r="M903" s="685"/>
    </row>
    <row r="904" spans="4:13" s="682" customFormat="1" x14ac:dyDescent="0.2">
      <c r="D904" s="683"/>
      <c r="F904" s="684"/>
      <c r="G904" s="684"/>
      <c r="H904" s="684"/>
      <c r="I904" s="684"/>
      <c r="J904" s="684"/>
      <c r="K904" s="684"/>
      <c r="L904" s="684"/>
      <c r="M904" s="685"/>
    </row>
    <row r="905" spans="4:13" s="682" customFormat="1" x14ac:dyDescent="0.2">
      <c r="D905" s="683"/>
      <c r="F905" s="684"/>
      <c r="G905" s="684"/>
      <c r="H905" s="684"/>
      <c r="I905" s="684"/>
      <c r="J905" s="684"/>
      <c r="K905" s="684"/>
      <c r="L905" s="684"/>
      <c r="M905" s="685"/>
    </row>
    <row r="906" spans="4:13" s="682" customFormat="1" x14ac:dyDescent="0.2">
      <c r="D906" s="683"/>
      <c r="F906" s="684"/>
      <c r="G906" s="684"/>
      <c r="H906" s="684"/>
      <c r="I906" s="684"/>
      <c r="J906" s="684"/>
      <c r="K906" s="684"/>
      <c r="L906" s="684"/>
      <c r="M906" s="685"/>
    </row>
    <row r="907" spans="4:13" s="682" customFormat="1" x14ac:dyDescent="0.2">
      <c r="D907" s="683"/>
      <c r="F907" s="684"/>
      <c r="G907" s="684"/>
      <c r="H907" s="684"/>
      <c r="I907" s="684"/>
      <c r="J907" s="684"/>
      <c r="K907" s="684"/>
      <c r="L907" s="684"/>
      <c r="M907" s="685"/>
    </row>
    <row r="908" spans="4:13" s="682" customFormat="1" x14ac:dyDescent="0.2">
      <c r="D908" s="683"/>
      <c r="F908" s="684"/>
      <c r="G908" s="684"/>
      <c r="H908" s="684"/>
      <c r="I908" s="684"/>
      <c r="J908" s="684"/>
      <c r="K908" s="684"/>
      <c r="L908" s="684"/>
      <c r="M908" s="685"/>
    </row>
    <row r="909" spans="4:13" s="682" customFormat="1" x14ac:dyDescent="0.2">
      <c r="D909" s="683"/>
      <c r="F909" s="684"/>
      <c r="G909" s="684"/>
      <c r="H909" s="684"/>
      <c r="I909" s="684"/>
      <c r="J909" s="684"/>
      <c r="K909" s="684"/>
      <c r="L909" s="684"/>
      <c r="M909" s="685"/>
    </row>
    <row r="910" spans="4:13" s="682" customFormat="1" x14ac:dyDescent="0.2">
      <c r="D910" s="683"/>
      <c r="F910" s="684"/>
      <c r="G910" s="684"/>
      <c r="H910" s="684"/>
      <c r="I910" s="684"/>
      <c r="J910" s="684"/>
      <c r="K910" s="684"/>
      <c r="L910" s="684"/>
      <c r="M910" s="685"/>
    </row>
    <row r="911" spans="4:13" s="682" customFormat="1" x14ac:dyDescent="0.2">
      <c r="D911" s="683"/>
      <c r="F911" s="684"/>
      <c r="G911" s="684"/>
      <c r="H911" s="684"/>
      <c r="I911" s="684"/>
      <c r="J911" s="684"/>
      <c r="K911" s="684"/>
      <c r="L911" s="684"/>
      <c r="M911" s="685"/>
    </row>
    <row r="912" spans="4:13" s="682" customFormat="1" x14ac:dyDescent="0.2">
      <c r="D912" s="683"/>
      <c r="F912" s="684"/>
      <c r="G912" s="684"/>
      <c r="H912" s="684"/>
      <c r="I912" s="684"/>
      <c r="J912" s="684"/>
      <c r="K912" s="684"/>
      <c r="L912" s="684"/>
      <c r="M912" s="685"/>
    </row>
    <row r="913" spans="4:13" s="682" customFormat="1" x14ac:dyDescent="0.2">
      <c r="D913" s="683"/>
      <c r="F913" s="684"/>
      <c r="G913" s="684"/>
      <c r="H913" s="684"/>
      <c r="I913" s="684"/>
      <c r="J913" s="684"/>
      <c r="K913" s="684"/>
      <c r="L913" s="684"/>
      <c r="M913" s="685"/>
    </row>
    <row r="914" spans="4:13" s="682" customFormat="1" x14ac:dyDescent="0.2">
      <c r="D914" s="683"/>
      <c r="F914" s="684"/>
      <c r="G914" s="684"/>
      <c r="H914" s="684"/>
      <c r="I914" s="684"/>
      <c r="J914" s="684"/>
      <c r="K914" s="684"/>
      <c r="L914" s="684"/>
      <c r="M914" s="685"/>
    </row>
    <row r="915" spans="4:13" s="682" customFormat="1" x14ac:dyDescent="0.2">
      <c r="D915" s="683"/>
      <c r="F915" s="684"/>
      <c r="G915" s="684"/>
      <c r="H915" s="684"/>
      <c r="I915" s="684"/>
      <c r="J915" s="684"/>
      <c r="K915" s="684"/>
      <c r="L915" s="684"/>
      <c r="M915" s="685"/>
    </row>
    <row r="916" spans="4:13" s="682" customFormat="1" x14ac:dyDescent="0.2">
      <c r="D916" s="683"/>
      <c r="F916" s="684"/>
      <c r="G916" s="684"/>
      <c r="H916" s="684"/>
      <c r="I916" s="684"/>
      <c r="J916" s="684"/>
      <c r="K916" s="684"/>
      <c r="L916" s="684"/>
      <c r="M916" s="685"/>
    </row>
    <row r="917" spans="4:13" s="682" customFormat="1" x14ac:dyDescent="0.2">
      <c r="D917" s="683"/>
      <c r="F917" s="684"/>
      <c r="G917" s="684"/>
      <c r="H917" s="684"/>
      <c r="I917" s="684"/>
      <c r="J917" s="684"/>
      <c r="K917" s="684"/>
      <c r="L917" s="684"/>
      <c r="M917" s="685"/>
    </row>
    <row r="918" spans="4:13" s="682" customFormat="1" x14ac:dyDescent="0.2">
      <c r="D918" s="683"/>
      <c r="F918" s="684"/>
      <c r="G918" s="684"/>
      <c r="H918" s="684"/>
      <c r="I918" s="684"/>
      <c r="J918" s="684"/>
      <c r="K918" s="684"/>
      <c r="L918" s="684"/>
      <c r="M918" s="685"/>
    </row>
    <row r="919" spans="4:13" s="682" customFormat="1" x14ac:dyDescent="0.2">
      <c r="D919" s="683"/>
      <c r="F919" s="684"/>
      <c r="G919" s="684"/>
      <c r="H919" s="684"/>
      <c r="I919" s="684"/>
      <c r="J919" s="684"/>
      <c r="K919" s="684"/>
      <c r="L919" s="684"/>
      <c r="M919" s="685"/>
    </row>
    <row r="920" spans="4:13" s="682" customFormat="1" x14ac:dyDescent="0.2">
      <c r="D920" s="683"/>
      <c r="F920" s="684"/>
      <c r="G920" s="684"/>
      <c r="H920" s="684"/>
      <c r="I920" s="684"/>
      <c r="J920" s="684"/>
      <c r="K920" s="684"/>
      <c r="L920" s="684"/>
      <c r="M920" s="685"/>
    </row>
    <row r="921" spans="4:13" s="682" customFormat="1" x14ac:dyDescent="0.2">
      <c r="D921" s="683"/>
      <c r="F921" s="684"/>
      <c r="G921" s="684"/>
      <c r="H921" s="684"/>
      <c r="I921" s="684"/>
      <c r="J921" s="684"/>
      <c r="K921" s="684"/>
      <c r="L921" s="684"/>
      <c r="M921" s="685"/>
    </row>
    <row r="922" spans="4:13" s="682" customFormat="1" x14ac:dyDescent="0.2">
      <c r="D922" s="683"/>
      <c r="F922" s="684"/>
      <c r="G922" s="684"/>
      <c r="H922" s="684"/>
      <c r="I922" s="684"/>
      <c r="J922" s="684"/>
      <c r="K922" s="684"/>
      <c r="L922" s="684"/>
      <c r="M922" s="685"/>
    </row>
    <row r="923" spans="4:13" s="682" customFormat="1" x14ac:dyDescent="0.2">
      <c r="D923" s="683"/>
      <c r="F923" s="684"/>
      <c r="G923" s="684"/>
      <c r="H923" s="684"/>
      <c r="I923" s="684"/>
      <c r="J923" s="684"/>
      <c r="K923" s="684"/>
      <c r="L923" s="684"/>
      <c r="M923" s="685"/>
    </row>
    <row r="924" spans="4:13" s="682" customFormat="1" x14ac:dyDescent="0.2">
      <c r="D924" s="683"/>
      <c r="F924" s="684"/>
      <c r="G924" s="684"/>
      <c r="H924" s="684"/>
      <c r="I924" s="684"/>
      <c r="J924" s="684"/>
      <c r="K924" s="684"/>
      <c r="L924" s="684"/>
      <c r="M924" s="685"/>
    </row>
    <row r="925" spans="4:13" s="682" customFormat="1" x14ac:dyDescent="0.2">
      <c r="D925" s="683"/>
      <c r="F925" s="684"/>
      <c r="G925" s="684"/>
      <c r="H925" s="684"/>
      <c r="I925" s="684"/>
      <c r="J925" s="684"/>
      <c r="K925" s="684"/>
      <c r="L925" s="684"/>
      <c r="M925" s="685"/>
    </row>
    <row r="926" spans="4:13" s="682" customFormat="1" x14ac:dyDescent="0.2">
      <c r="D926" s="683"/>
      <c r="F926" s="684"/>
      <c r="G926" s="684"/>
      <c r="H926" s="684"/>
      <c r="I926" s="684"/>
      <c r="J926" s="684"/>
      <c r="K926" s="684"/>
      <c r="L926" s="684"/>
      <c r="M926" s="685"/>
    </row>
    <row r="927" spans="4:13" s="682" customFormat="1" x14ac:dyDescent="0.2">
      <c r="D927" s="683"/>
      <c r="F927" s="684"/>
      <c r="G927" s="684"/>
      <c r="H927" s="684"/>
      <c r="I927" s="684"/>
      <c r="J927" s="684"/>
      <c r="K927" s="684"/>
      <c r="L927" s="684"/>
      <c r="M927" s="685"/>
    </row>
    <row r="928" spans="4:13" s="682" customFormat="1" x14ac:dyDescent="0.2">
      <c r="D928" s="683"/>
      <c r="F928" s="684"/>
      <c r="G928" s="684"/>
      <c r="H928" s="684"/>
      <c r="I928" s="684"/>
      <c r="J928" s="684"/>
      <c r="K928" s="684"/>
      <c r="L928" s="684"/>
      <c r="M928" s="685"/>
    </row>
    <row r="929" spans="4:13" s="682" customFormat="1" x14ac:dyDescent="0.2">
      <c r="D929" s="683"/>
      <c r="F929" s="684"/>
      <c r="G929" s="684"/>
      <c r="H929" s="684"/>
      <c r="I929" s="684"/>
      <c r="J929" s="684"/>
      <c r="K929" s="684"/>
      <c r="L929" s="684"/>
      <c r="M929" s="685"/>
    </row>
    <row r="930" spans="4:13" s="682" customFormat="1" x14ac:dyDescent="0.2">
      <c r="D930" s="683"/>
      <c r="F930" s="684"/>
      <c r="G930" s="684"/>
      <c r="H930" s="684"/>
      <c r="I930" s="684"/>
      <c r="J930" s="684"/>
      <c r="K930" s="684"/>
      <c r="L930" s="684"/>
      <c r="M930" s="685"/>
    </row>
    <row r="931" spans="4:13" s="682" customFormat="1" x14ac:dyDescent="0.2">
      <c r="D931" s="683"/>
      <c r="F931" s="684"/>
      <c r="G931" s="684"/>
      <c r="H931" s="684"/>
      <c r="I931" s="684"/>
      <c r="J931" s="684"/>
      <c r="K931" s="684"/>
      <c r="L931" s="684"/>
      <c r="M931" s="685"/>
    </row>
    <row r="932" spans="4:13" s="682" customFormat="1" x14ac:dyDescent="0.2">
      <c r="D932" s="683"/>
      <c r="F932" s="684"/>
      <c r="G932" s="684"/>
      <c r="H932" s="684"/>
      <c r="I932" s="684"/>
      <c r="J932" s="684"/>
      <c r="K932" s="684"/>
      <c r="L932" s="684"/>
      <c r="M932" s="685"/>
    </row>
    <row r="933" spans="4:13" s="682" customFormat="1" x14ac:dyDescent="0.2">
      <c r="D933" s="683"/>
      <c r="F933" s="684"/>
      <c r="G933" s="684"/>
      <c r="H933" s="684"/>
      <c r="I933" s="684"/>
      <c r="J933" s="684"/>
      <c r="K933" s="684"/>
      <c r="L933" s="684"/>
      <c r="M933" s="685"/>
    </row>
    <row r="934" spans="4:13" s="682" customFormat="1" x14ac:dyDescent="0.2">
      <c r="D934" s="683"/>
      <c r="F934" s="684"/>
      <c r="G934" s="684"/>
      <c r="H934" s="684"/>
      <c r="I934" s="684"/>
      <c r="J934" s="684"/>
      <c r="K934" s="684"/>
      <c r="L934" s="684"/>
      <c r="M934" s="685"/>
    </row>
    <row r="935" spans="4:13" s="682" customFormat="1" x14ac:dyDescent="0.2">
      <c r="D935" s="683"/>
      <c r="F935" s="684"/>
      <c r="G935" s="684"/>
      <c r="H935" s="684"/>
      <c r="I935" s="684"/>
      <c r="J935" s="684"/>
      <c r="K935" s="684"/>
      <c r="L935" s="684"/>
      <c r="M935" s="685"/>
    </row>
    <row r="936" spans="4:13" s="682" customFormat="1" x14ac:dyDescent="0.2">
      <c r="D936" s="683"/>
      <c r="F936" s="684"/>
      <c r="G936" s="684"/>
      <c r="H936" s="684"/>
      <c r="I936" s="684"/>
      <c r="J936" s="684"/>
      <c r="K936" s="684"/>
      <c r="L936" s="684"/>
      <c r="M936" s="685"/>
    </row>
    <row r="937" spans="4:13" s="682" customFormat="1" x14ac:dyDescent="0.2">
      <c r="D937" s="683"/>
      <c r="F937" s="684"/>
      <c r="G937" s="684"/>
      <c r="H937" s="684"/>
      <c r="I937" s="684"/>
      <c r="J937" s="684"/>
      <c r="K937" s="684"/>
      <c r="L937" s="684"/>
      <c r="M937" s="685"/>
    </row>
    <row r="938" spans="4:13" s="682" customFormat="1" x14ac:dyDescent="0.2">
      <c r="D938" s="683"/>
      <c r="F938" s="684"/>
      <c r="G938" s="684"/>
      <c r="H938" s="684"/>
      <c r="I938" s="684"/>
      <c r="J938" s="684"/>
      <c r="K938" s="684"/>
      <c r="L938" s="684"/>
      <c r="M938" s="685"/>
    </row>
    <row r="939" spans="4:13" s="682" customFormat="1" x14ac:dyDescent="0.2">
      <c r="D939" s="683"/>
      <c r="F939" s="684"/>
      <c r="G939" s="684"/>
      <c r="H939" s="684"/>
      <c r="I939" s="684"/>
      <c r="J939" s="684"/>
      <c r="K939" s="684"/>
      <c r="L939" s="684"/>
      <c r="M939" s="685"/>
    </row>
    <row r="940" spans="4:13" s="682" customFormat="1" x14ac:dyDescent="0.2">
      <c r="D940" s="683"/>
      <c r="F940" s="684"/>
      <c r="G940" s="684"/>
      <c r="H940" s="684"/>
      <c r="I940" s="684"/>
      <c r="J940" s="684"/>
      <c r="K940" s="684"/>
      <c r="L940" s="684"/>
      <c r="M940" s="685"/>
    </row>
    <row r="941" spans="4:13" s="682" customFormat="1" x14ac:dyDescent="0.2">
      <c r="D941" s="683"/>
      <c r="F941" s="684"/>
      <c r="G941" s="684"/>
      <c r="H941" s="684"/>
      <c r="I941" s="684"/>
      <c r="J941" s="684"/>
      <c r="K941" s="684"/>
      <c r="L941" s="684"/>
      <c r="M941" s="685"/>
    </row>
    <row r="942" spans="4:13" s="682" customFormat="1" x14ac:dyDescent="0.2">
      <c r="D942" s="683"/>
      <c r="F942" s="684"/>
      <c r="G942" s="684"/>
      <c r="H942" s="684"/>
      <c r="I942" s="684"/>
      <c r="J942" s="684"/>
      <c r="K942" s="684"/>
      <c r="L942" s="684"/>
      <c r="M942" s="685"/>
    </row>
    <row r="943" spans="4:13" s="682" customFormat="1" x14ac:dyDescent="0.2">
      <c r="D943" s="683"/>
      <c r="F943" s="684"/>
      <c r="G943" s="684"/>
      <c r="H943" s="684"/>
      <c r="I943" s="684"/>
      <c r="J943" s="684"/>
      <c r="K943" s="684"/>
      <c r="L943" s="684"/>
      <c r="M943" s="685"/>
    </row>
    <row r="944" spans="4:13" s="682" customFormat="1" x14ac:dyDescent="0.2">
      <c r="D944" s="683"/>
      <c r="F944" s="684"/>
      <c r="G944" s="684"/>
      <c r="H944" s="684"/>
      <c r="I944" s="684"/>
      <c r="J944" s="684"/>
      <c r="K944" s="684"/>
      <c r="L944" s="684"/>
      <c r="M944" s="685"/>
    </row>
    <row r="945" spans="4:13" s="682" customFormat="1" x14ac:dyDescent="0.2">
      <c r="D945" s="683"/>
      <c r="F945" s="684"/>
      <c r="G945" s="684"/>
      <c r="H945" s="684"/>
      <c r="I945" s="684"/>
      <c r="J945" s="684"/>
      <c r="K945" s="684"/>
      <c r="L945" s="684"/>
      <c r="M945" s="685"/>
    </row>
    <row r="946" spans="4:13" s="682" customFormat="1" x14ac:dyDescent="0.2">
      <c r="D946" s="683"/>
      <c r="F946" s="684"/>
      <c r="G946" s="684"/>
      <c r="H946" s="684"/>
      <c r="I946" s="684"/>
      <c r="J946" s="684"/>
      <c r="K946" s="684"/>
      <c r="L946" s="684"/>
      <c r="M946" s="685"/>
    </row>
    <row r="947" spans="4:13" s="682" customFormat="1" x14ac:dyDescent="0.2">
      <c r="D947" s="683"/>
      <c r="F947" s="684"/>
      <c r="G947" s="684"/>
      <c r="H947" s="684"/>
      <c r="I947" s="684"/>
      <c r="J947" s="684"/>
      <c r="K947" s="684"/>
      <c r="L947" s="684"/>
      <c r="M947" s="685"/>
    </row>
    <row r="948" spans="4:13" s="682" customFormat="1" x14ac:dyDescent="0.2">
      <c r="D948" s="683"/>
      <c r="F948" s="684"/>
      <c r="G948" s="684"/>
      <c r="H948" s="684"/>
      <c r="I948" s="684"/>
      <c r="J948" s="684"/>
      <c r="K948" s="684"/>
      <c r="L948" s="684"/>
      <c r="M948" s="685"/>
    </row>
    <row r="949" spans="4:13" s="682" customFormat="1" x14ac:dyDescent="0.2">
      <c r="D949" s="683"/>
      <c r="F949" s="684"/>
      <c r="G949" s="684"/>
      <c r="H949" s="684"/>
      <c r="I949" s="684"/>
      <c r="J949" s="684"/>
      <c r="K949" s="684"/>
      <c r="L949" s="684"/>
      <c r="M949" s="685"/>
    </row>
    <row r="950" spans="4:13" s="682" customFormat="1" x14ac:dyDescent="0.2">
      <c r="D950" s="683"/>
      <c r="F950" s="684"/>
      <c r="G950" s="684"/>
      <c r="H950" s="684"/>
      <c r="I950" s="684"/>
      <c r="J950" s="684"/>
      <c r="K950" s="684"/>
      <c r="L950" s="684"/>
      <c r="M950" s="685"/>
    </row>
    <row r="951" spans="4:13" s="682" customFormat="1" x14ac:dyDescent="0.2">
      <c r="D951" s="683"/>
      <c r="F951" s="684"/>
      <c r="G951" s="684"/>
      <c r="H951" s="684"/>
      <c r="I951" s="684"/>
      <c r="J951" s="684"/>
      <c r="K951" s="684"/>
      <c r="L951" s="684"/>
      <c r="M951" s="685"/>
    </row>
    <row r="952" spans="4:13" s="682" customFormat="1" x14ac:dyDescent="0.2">
      <c r="D952" s="683"/>
      <c r="F952" s="684"/>
      <c r="G952" s="684"/>
      <c r="H952" s="684"/>
      <c r="I952" s="684"/>
      <c r="J952" s="684"/>
      <c r="K952" s="684"/>
      <c r="L952" s="684"/>
      <c r="M952" s="685"/>
    </row>
    <row r="953" spans="4:13" s="682" customFormat="1" x14ac:dyDescent="0.2">
      <c r="D953" s="683"/>
      <c r="F953" s="684"/>
      <c r="G953" s="684"/>
      <c r="H953" s="684"/>
      <c r="I953" s="684"/>
      <c r="J953" s="684"/>
      <c r="K953" s="684"/>
      <c r="L953" s="684"/>
      <c r="M953" s="685"/>
    </row>
    <row r="954" spans="4:13" s="682" customFormat="1" x14ac:dyDescent="0.2">
      <c r="D954" s="683"/>
      <c r="F954" s="684"/>
      <c r="G954" s="684"/>
      <c r="H954" s="684"/>
      <c r="I954" s="684"/>
      <c r="J954" s="684"/>
      <c r="K954" s="684"/>
      <c r="L954" s="684"/>
      <c r="M954" s="685"/>
    </row>
    <row r="955" spans="4:13" s="682" customFormat="1" x14ac:dyDescent="0.2">
      <c r="D955" s="683"/>
      <c r="F955" s="684"/>
      <c r="G955" s="684"/>
      <c r="H955" s="684"/>
      <c r="I955" s="684"/>
      <c r="J955" s="684"/>
      <c r="K955" s="684"/>
      <c r="L955" s="684"/>
      <c r="M955" s="685"/>
    </row>
    <row r="956" spans="4:13" s="682" customFormat="1" x14ac:dyDescent="0.2">
      <c r="D956" s="683"/>
      <c r="F956" s="684"/>
      <c r="G956" s="684"/>
      <c r="H956" s="684"/>
      <c r="I956" s="684"/>
      <c r="J956" s="684"/>
      <c r="K956" s="684"/>
      <c r="L956" s="684"/>
      <c r="M956" s="685"/>
    </row>
    <row r="957" spans="4:13" s="682" customFormat="1" x14ac:dyDescent="0.2">
      <c r="D957" s="683"/>
      <c r="F957" s="684"/>
      <c r="G957" s="684"/>
      <c r="H957" s="684"/>
      <c r="I957" s="684"/>
      <c r="J957" s="684"/>
      <c r="K957" s="684"/>
      <c r="L957" s="684"/>
      <c r="M957" s="685"/>
    </row>
    <row r="958" spans="4:13" s="682" customFormat="1" x14ac:dyDescent="0.2">
      <c r="D958" s="683"/>
      <c r="F958" s="684"/>
      <c r="G958" s="684"/>
      <c r="H958" s="684"/>
      <c r="I958" s="684"/>
      <c r="J958" s="684"/>
      <c r="K958" s="684"/>
      <c r="L958" s="684"/>
      <c r="M958" s="685"/>
    </row>
    <row r="959" spans="4:13" s="682" customFormat="1" x14ac:dyDescent="0.2">
      <c r="D959" s="683"/>
      <c r="F959" s="684"/>
      <c r="G959" s="684"/>
      <c r="H959" s="684"/>
      <c r="I959" s="684"/>
      <c r="J959" s="684"/>
      <c r="K959" s="684"/>
      <c r="L959" s="684"/>
      <c r="M959" s="685"/>
    </row>
    <row r="960" spans="4:13" s="682" customFormat="1" x14ac:dyDescent="0.2">
      <c r="D960" s="683"/>
      <c r="F960" s="684"/>
      <c r="G960" s="684"/>
      <c r="H960" s="684"/>
      <c r="I960" s="684"/>
      <c r="J960" s="684"/>
      <c r="K960" s="684"/>
      <c r="L960" s="684"/>
      <c r="M960" s="685"/>
    </row>
    <row r="961" spans="4:13" s="682" customFormat="1" x14ac:dyDescent="0.2">
      <c r="D961" s="683"/>
      <c r="F961" s="684"/>
      <c r="G961" s="684"/>
      <c r="H961" s="684"/>
      <c r="I961" s="684"/>
      <c r="J961" s="684"/>
      <c r="K961" s="684"/>
      <c r="L961" s="684"/>
      <c r="M961" s="685"/>
    </row>
    <row r="962" spans="4:13" s="682" customFormat="1" x14ac:dyDescent="0.2">
      <c r="D962" s="683"/>
      <c r="F962" s="684"/>
      <c r="G962" s="684"/>
      <c r="H962" s="684"/>
      <c r="I962" s="684"/>
      <c r="J962" s="684"/>
      <c r="K962" s="684"/>
      <c r="L962" s="684"/>
      <c r="M962" s="685"/>
    </row>
    <row r="963" spans="4:13" s="682" customFormat="1" x14ac:dyDescent="0.2">
      <c r="D963" s="683"/>
      <c r="F963" s="684"/>
      <c r="G963" s="684"/>
      <c r="H963" s="684"/>
      <c r="I963" s="684"/>
      <c r="J963" s="684"/>
      <c r="K963" s="684"/>
      <c r="L963" s="684"/>
      <c r="M963" s="685"/>
    </row>
    <row r="964" spans="4:13" s="682" customFormat="1" x14ac:dyDescent="0.2">
      <c r="D964" s="683"/>
      <c r="F964" s="684"/>
      <c r="G964" s="684"/>
      <c r="H964" s="684"/>
      <c r="I964" s="684"/>
      <c r="J964" s="684"/>
      <c r="K964" s="684"/>
      <c r="L964" s="684"/>
      <c r="M964" s="685"/>
    </row>
    <row r="965" spans="4:13" s="682" customFormat="1" x14ac:dyDescent="0.2">
      <c r="D965" s="683"/>
      <c r="F965" s="684"/>
      <c r="G965" s="684"/>
      <c r="H965" s="684"/>
      <c r="I965" s="684"/>
      <c r="J965" s="684"/>
      <c r="K965" s="684"/>
      <c r="L965" s="684"/>
      <c r="M965" s="685"/>
    </row>
    <row r="966" spans="4:13" s="682" customFormat="1" x14ac:dyDescent="0.2">
      <c r="D966" s="683"/>
      <c r="F966" s="684"/>
      <c r="G966" s="684"/>
      <c r="H966" s="684"/>
      <c r="I966" s="684"/>
      <c r="J966" s="684"/>
      <c r="K966" s="684"/>
      <c r="L966" s="684"/>
      <c r="M966" s="685"/>
    </row>
    <row r="967" spans="4:13" s="682" customFormat="1" x14ac:dyDescent="0.2">
      <c r="D967" s="683"/>
      <c r="F967" s="684"/>
      <c r="G967" s="684"/>
      <c r="H967" s="684"/>
      <c r="I967" s="684"/>
      <c r="J967" s="684"/>
      <c r="K967" s="684"/>
      <c r="L967" s="684"/>
      <c r="M967" s="685"/>
    </row>
    <row r="968" spans="4:13" s="682" customFormat="1" x14ac:dyDescent="0.2">
      <c r="D968" s="683"/>
      <c r="F968" s="684"/>
      <c r="G968" s="684"/>
      <c r="H968" s="684"/>
      <c r="I968" s="684"/>
      <c r="J968" s="684"/>
      <c r="K968" s="684"/>
      <c r="L968" s="684"/>
      <c r="M968" s="685"/>
    </row>
    <row r="969" spans="4:13" s="682" customFormat="1" x14ac:dyDescent="0.2">
      <c r="D969" s="683"/>
      <c r="F969" s="684"/>
      <c r="G969" s="684"/>
      <c r="H969" s="684"/>
      <c r="I969" s="684"/>
      <c r="J969" s="684"/>
      <c r="K969" s="684"/>
      <c r="L969" s="684"/>
      <c r="M969" s="685"/>
    </row>
    <row r="970" spans="4:13" s="682" customFormat="1" x14ac:dyDescent="0.2">
      <c r="D970" s="683"/>
      <c r="F970" s="684"/>
      <c r="G970" s="684"/>
      <c r="H970" s="684"/>
      <c r="I970" s="684"/>
      <c r="J970" s="684"/>
      <c r="K970" s="684"/>
      <c r="L970" s="684"/>
      <c r="M970" s="685"/>
    </row>
    <row r="971" spans="4:13" s="682" customFormat="1" x14ac:dyDescent="0.2">
      <c r="D971" s="683"/>
      <c r="F971" s="684"/>
      <c r="G971" s="684"/>
      <c r="H971" s="684"/>
      <c r="I971" s="684"/>
      <c r="J971" s="684"/>
      <c r="K971" s="684"/>
      <c r="L971" s="684"/>
      <c r="M971" s="685"/>
    </row>
    <row r="972" spans="4:13" s="682" customFormat="1" x14ac:dyDescent="0.2">
      <c r="D972" s="683"/>
      <c r="F972" s="684"/>
      <c r="G972" s="684"/>
      <c r="H972" s="684"/>
      <c r="I972" s="684"/>
      <c r="J972" s="684"/>
      <c r="K972" s="684"/>
      <c r="L972" s="684"/>
      <c r="M972" s="685"/>
    </row>
    <row r="973" spans="4:13" s="682" customFormat="1" x14ac:dyDescent="0.2">
      <c r="D973" s="683"/>
      <c r="F973" s="684"/>
      <c r="G973" s="684"/>
      <c r="H973" s="684"/>
      <c r="I973" s="684"/>
      <c r="J973" s="684"/>
      <c r="K973" s="684"/>
      <c r="L973" s="684"/>
      <c r="M973" s="685"/>
    </row>
    <row r="974" spans="4:13" s="682" customFormat="1" x14ac:dyDescent="0.2">
      <c r="D974" s="683"/>
      <c r="F974" s="684"/>
      <c r="G974" s="684"/>
      <c r="H974" s="684"/>
      <c r="I974" s="684"/>
      <c r="J974" s="684"/>
      <c r="K974" s="684"/>
      <c r="L974" s="684"/>
      <c r="M974" s="685"/>
    </row>
    <row r="975" spans="4:13" s="682" customFormat="1" x14ac:dyDescent="0.2">
      <c r="D975" s="683"/>
      <c r="F975" s="684"/>
      <c r="G975" s="684"/>
      <c r="H975" s="684"/>
      <c r="I975" s="684"/>
      <c r="J975" s="684"/>
      <c r="K975" s="684"/>
      <c r="L975" s="684"/>
      <c r="M975" s="685"/>
    </row>
    <row r="976" spans="4:13" s="682" customFormat="1" x14ac:dyDescent="0.2">
      <c r="D976" s="683"/>
      <c r="F976" s="684"/>
      <c r="G976" s="684"/>
      <c r="H976" s="684"/>
      <c r="I976" s="684"/>
      <c r="J976" s="684"/>
      <c r="K976" s="684"/>
      <c r="L976" s="684"/>
      <c r="M976" s="685"/>
    </row>
    <row r="977" spans="4:13" s="682" customFormat="1" x14ac:dyDescent="0.2">
      <c r="D977" s="683"/>
      <c r="F977" s="684"/>
      <c r="G977" s="684"/>
      <c r="H977" s="684"/>
      <c r="I977" s="684"/>
      <c r="J977" s="684"/>
      <c r="K977" s="684"/>
      <c r="L977" s="684"/>
      <c r="M977" s="685"/>
    </row>
    <row r="978" spans="4:13" s="682" customFormat="1" x14ac:dyDescent="0.2">
      <c r="D978" s="683"/>
      <c r="F978" s="684"/>
      <c r="G978" s="684"/>
      <c r="H978" s="684"/>
      <c r="I978" s="684"/>
      <c r="J978" s="684"/>
      <c r="K978" s="684"/>
      <c r="L978" s="684"/>
      <c r="M978" s="685"/>
    </row>
    <row r="979" spans="4:13" s="682" customFormat="1" x14ac:dyDescent="0.2">
      <c r="D979" s="683"/>
      <c r="F979" s="684"/>
      <c r="G979" s="684"/>
      <c r="H979" s="684"/>
      <c r="I979" s="684"/>
      <c r="J979" s="684"/>
      <c r="K979" s="684"/>
      <c r="L979" s="684"/>
      <c r="M979" s="685"/>
    </row>
    <row r="980" spans="4:13" s="682" customFormat="1" x14ac:dyDescent="0.2">
      <c r="D980" s="683"/>
      <c r="F980" s="684"/>
      <c r="G980" s="684"/>
      <c r="H980" s="684"/>
      <c r="I980" s="684"/>
      <c r="J980" s="684"/>
      <c r="K980" s="684"/>
      <c r="L980" s="684"/>
      <c r="M980" s="685"/>
    </row>
    <row r="981" spans="4:13" s="682" customFormat="1" x14ac:dyDescent="0.2">
      <c r="D981" s="683"/>
      <c r="F981" s="684"/>
      <c r="G981" s="684"/>
      <c r="H981" s="684"/>
      <c r="I981" s="684"/>
      <c r="J981" s="684"/>
      <c r="K981" s="684"/>
      <c r="L981" s="684"/>
      <c r="M981" s="685"/>
    </row>
    <row r="982" spans="4:13" s="682" customFormat="1" x14ac:dyDescent="0.2">
      <c r="D982" s="683"/>
      <c r="F982" s="684"/>
      <c r="G982" s="684"/>
      <c r="H982" s="684"/>
      <c r="I982" s="684"/>
      <c r="J982" s="684"/>
      <c r="K982" s="684"/>
      <c r="L982" s="684"/>
      <c r="M982" s="685"/>
    </row>
    <row r="983" spans="4:13" s="682" customFormat="1" x14ac:dyDescent="0.2">
      <c r="D983" s="683"/>
      <c r="F983" s="684"/>
      <c r="G983" s="684"/>
      <c r="H983" s="684"/>
      <c r="I983" s="684"/>
      <c r="J983" s="684"/>
      <c r="K983" s="684"/>
      <c r="L983" s="684"/>
      <c r="M983" s="685"/>
    </row>
    <row r="984" spans="4:13" s="682" customFormat="1" x14ac:dyDescent="0.2">
      <c r="D984" s="683"/>
      <c r="F984" s="684"/>
      <c r="G984" s="684"/>
      <c r="H984" s="684"/>
      <c r="I984" s="684"/>
      <c r="J984" s="684"/>
      <c r="K984" s="684"/>
      <c r="L984" s="684"/>
      <c r="M984" s="685"/>
    </row>
    <row r="985" spans="4:13" s="682" customFormat="1" x14ac:dyDescent="0.2">
      <c r="D985" s="683"/>
      <c r="F985" s="684"/>
      <c r="G985" s="684"/>
      <c r="H985" s="684"/>
      <c r="I985" s="684"/>
      <c r="J985" s="684"/>
      <c r="K985" s="684"/>
      <c r="L985" s="684"/>
      <c r="M985" s="685"/>
    </row>
    <row r="986" spans="4:13" s="682" customFormat="1" x14ac:dyDescent="0.2">
      <c r="D986" s="683"/>
      <c r="F986" s="684"/>
      <c r="G986" s="684"/>
      <c r="H986" s="684"/>
      <c r="I986" s="684"/>
      <c r="J986" s="684"/>
      <c r="K986" s="684"/>
      <c r="L986" s="684"/>
      <c r="M986" s="685"/>
    </row>
    <row r="987" spans="4:13" s="682" customFormat="1" x14ac:dyDescent="0.2">
      <c r="D987" s="683"/>
      <c r="F987" s="684"/>
      <c r="G987" s="684"/>
      <c r="H987" s="684"/>
      <c r="I987" s="684"/>
      <c r="J987" s="684"/>
      <c r="K987" s="684"/>
      <c r="L987" s="684"/>
      <c r="M987" s="685"/>
    </row>
    <row r="988" spans="4:13" s="682" customFormat="1" x14ac:dyDescent="0.2">
      <c r="D988" s="683"/>
      <c r="F988" s="684"/>
      <c r="G988" s="684"/>
      <c r="H988" s="684"/>
      <c r="I988" s="684"/>
      <c r="J988" s="684"/>
      <c r="K988" s="684"/>
      <c r="L988" s="684"/>
      <c r="M988" s="685"/>
    </row>
    <row r="989" spans="4:13" s="682" customFormat="1" x14ac:dyDescent="0.2">
      <c r="D989" s="683"/>
      <c r="F989" s="684"/>
      <c r="G989" s="684"/>
      <c r="H989" s="684"/>
      <c r="I989" s="684"/>
      <c r="J989" s="684"/>
      <c r="K989" s="684"/>
      <c r="L989" s="684"/>
      <c r="M989" s="685"/>
    </row>
    <row r="990" spans="4:13" s="682" customFormat="1" x14ac:dyDescent="0.2">
      <c r="D990" s="683"/>
      <c r="F990" s="684"/>
      <c r="G990" s="684"/>
      <c r="H990" s="684"/>
      <c r="I990" s="684"/>
      <c r="J990" s="684"/>
      <c r="K990" s="684"/>
      <c r="L990" s="684"/>
      <c r="M990" s="685"/>
    </row>
    <row r="991" spans="4:13" s="682" customFormat="1" x14ac:dyDescent="0.2">
      <c r="D991" s="683"/>
      <c r="F991" s="684"/>
      <c r="G991" s="684"/>
      <c r="H991" s="684"/>
      <c r="I991" s="684"/>
      <c r="J991" s="684"/>
      <c r="K991" s="684"/>
      <c r="L991" s="684"/>
      <c r="M991" s="685"/>
    </row>
    <row r="992" spans="4:13" s="682" customFormat="1" x14ac:dyDescent="0.2">
      <c r="D992" s="683"/>
      <c r="F992" s="684"/>
      <c r="G992" s="684"/>
      <c r="H992" s="684"/>
      <c r="I992" s="684"/>
      <c r="J992" s="684"/>
      <c r="K992" s="684"/>
      <c r="L992" s="684"/>
      <c r="M992" s="685"/>
    </row>
    <row r="993" spans="4:13" s="682" customFormat="1" x14ac:dyDescent="0.2">
      <c r="D993" s="683"/>
      <c r="F993" s="684"/>
      <c r="G993" s="684"/>
      <c r="H993" s="684"/>
      <c r="I993" s="684"/>
      <c r="J993" s="684"/>
      <c r="K993" s="684"/>
      <c r="L993" s="684"/>
      <c r="M993" s="685"/>
    </row>
    <row r="994" spans="4:13" s="682" customFormat="1" x14ac:dyDescent="0.2">
      <c r="D994" s="683"/>
      <c r="F994" s="684"/>
      <c r="G994" s="684"/>
      <c r="H994" s="684"/>
      <c r="I994" s="684"/>
      <c r="J994" s="684"/>
      <c r="K994" s="684"/>
      <c r="L994" s="684"/>
      <c r="M994" s="685"/>
    </row>
    <row r="995" spans="4:13" s="682" customFormat="1" x14ac:dyDescent="0.2">
      <c r="D995" s="683"/>
      <c r="F995" s="684"/>
      <c r="G995" s="684"/>
      <c r="H995" s="684"/>
      <c r="I995" s="684"/>
      <c r="J995" s="684"/>
      <c r="K995" s="684"/>
      <c r="L995" s="684"/>
      <c r="M995" s="685"/>
    </row>
    <row r="996" spans="4:13" s="682" customFormat="1" x14ac:dyDescent="0.2">
      <c r="D996" s="683"/>
      <c r="F996" s="684"/>
      <c r="G996" s="684"/>
      <c r="H996" s="684"/>
      <c r="I996" s="684"/>
      <c r="J996" s="684"/>
      <c r="K996" s="684"/>
      <c r="L996" s="684"/>
      <c r="M996" s="685"/>
    </row>
    <row r="997" spans="4:13" s="682" customFormat="1" x14ac:dyDescent="0.2">
      <c r="D997" s="683"/>
      <c r="F997" s="684"/>
      <c r="G997" s="684"/>
      <c r="H997" s="684"/>
      <c r="I997" s="684"/>
      <c r="J997" s="684"/>
      <c r="K997" s="684"/>
      <c r="L997" s="684"/>
      <c r="M997" s="685"/>
    </row>
    <row r="998" spans="4:13" s="682" customFormat="1" x14ac:dyDescent="0.2">
      <c r="D998" s="683"/>
      <c r="F998" s="684"/>
      <c r="G998" s="684"/>
      <c r="H998" s="684"/>
      <c r="I998" s="684"/>
      <c r="J998" s="684"/>
      <c r="K998" s="684"/>
      <c r="L998" s="684"/>
      <c r="M998" s="685"/>
    </row>
    <row r="999" spans="4:13" s="682" customFormat="1" x14ac:dyDescent="0.2">
      <c r="D999" s="683"/>
      <c r="F999" s="684"/>
      <c r="G999" s="684"/>
      <c r="H999" s="684"/>
      <c r="I999" s="684"/>
      <c r="J999" s="684"/>
      <c r="K999" s="684"/>
      <c r="L999" s="684"/>
      <c r="M999" s="685"/>
    </row>
    <row r="1000" spans="4:13" s="682" customFormat="1" x14ac:dyDescent="0.2">
      <c r="D1000" s="683"/>
      <c r="F1000" s="684"/>
      <c r="G1000" s="684"/>
      <c r="H1000" s="684"/>
      <c r="I1000" s="684"/>
      <c r="J1000" s="684"/>
      <c r="K1000" s="684"/>
      <c r="L1000" s="684"/>
      <c r="M1000" s="685"/>
    </row>
    <row r="1001" spans="4:13" s="682" customFormat="1" x14ac:dyDescent="0.2">
      <c r="D1001" s="683"/>
      <c r="F1001" s="684"/>
      <c r="G1001" s="684"/>
      <c r="H1001" s="684"/>
      <c r="I1001" s="684"/>
      <c r="J1001" s="684"/>
      <c r="K1001" s="684"/>
      <c r="L1001" s="684"/>
      <c r="M1001" s="685"/>
    </row>
    <row r="1002" spans="4:13" s="682" customFormat="1" x14ac:dyDescent="0.2">
      <c r="D1002" s="683"/>
      <c r="F1002" s="684"/>
      <c r="G1002" s="684"/>
      <c r="H1002" s="684"/>
      <c r="I1002" s="684"/>
      <c r="J1002" s="684"/>
      <c r="K1002" s="684"/>
      <c r="L1002" s="684"/>
      <c r="M1002" s="685"/>
    </row>
    <row r="1003" spans="4:13" s="682" customFormat="1" x14ac:dyDescent="0.2">
      <c r="D1003" s="683"/>
      <c r="F1003" s="684"/>
      <c r="G1003" s="684"/>
      <c r="H1003" s="684"/>
      <c r="I1003" s="684"/>
      <c r="J1003" s="684"/>
      <c r="K1003" s="684"/>
      <c r="L1003" s="684"/>
      <c r="M1003" s="685"/>
    </row>
    <row r="1004" spans="4:13" s="682" customFormat="1" x14ac:dyDescent="0.2">
      <c r="D1004" s="683"/>
      <c r="F1004" s="684"/>
      <c r="G1004" s="684"/>
      <c r="H1004" s="684"/>
      <c r="I1004" s="684"/>
      <c r="J1004" s="684"/>
      <c r="K1004" s="684"/>
      <c r="L1004" s="684"/>
      <c r="M1004" s="685"/>
    </row>
    <row r="1005" spans="4:13" s="682" customFormat="1" x14ac:dyDescent="0.2">
      <c r="D1005" s="683"/>
      <c r="F1005" s="684"/>
      <c r="G1005" s="684"/>
      <c r="H1005" s="684"/>
      <c r="I1005" s="684"/>
      <c r="J1005" s="684"/>
      <c r="K1005" s="684"/>
      <c r="L1005" s="684"/>
      <c r="M1005" s="685"/>
    </row>
    <row r="1006" spans="4:13" s="682" customFormat="1" x14ac:dyDescent="0.2">
      <c r="D1006" s="683"/>
      <c r="F1006" s="684"/>
      <c r="G1006" s="684"/>
      <c r="H1006" s="684"/>
      <c r="I1006" s="684"/>
      <c r="J1006" s="684"/>
      <c r="K1006" s="684"/>
      <c r="L1006" s="684"/>
      <c r="M1006" s="685"/>
    </row>
    <row r="1007" spans="4:13" s="682" customFormat="1" x14ac:dyDescent="0.2">
      <c r="D1007" s="683"/>
      <c r="F1007" s="684"/>
      <c r="G1007" s="684"/>
      <c r="H1007" s="684"/>
      <c r="I1007" s="684"/>
      <c r="J1007" s="684"/>
      <c r="K1007" s="684"/>
      <c r="L1007" s="684"/>
      <c r="M1007" s="685"/>
    </row>
    <row r="1008" spans="4:13" s="682" customFormat="1" x14ac:dyDescent="0.2">
      <c r="D1008" s="683"/>
      <c r="F1008" s="684"/>
      <c r="G1008" s="684"/>
      <c r="H1008" s="684"/>
      <c r="I1008" s="684"/>
      <c r="J1008" s="684"/>
      <c r="K1008" s="684"/>
      <c r="L1008" s="684"/>
      <c r="M1008" s="685"/>
    </row>
    <row r="1009" spans="4:13" s="682" customFormat="1" x14ac:dyDescent="0.2">
      <c r="D1009" s="683"/>
      <c r="F1009" s="684"/>
      <c r="G1009" s="684"/>
      <c r="H1009" s="684"/>
      <c r="I1009" s="684"/>
      <c r="J1009" s="684"/>
      <c r="K1009" s="684"/>
      <c r="L1009" s="684"/>
      <c r="M1009" s="685"/>
    </row>
    <row r="1010" spans="4:13" s="682" customFormat="1" x14ac:dyDescent="0.2">
      <c r="D1010" s="683"/>
      <c r="F1010" s="684"/>
      <c r="G1010" s="684"/>
      <c r="H1010" s="684"/>
      <c r="I1010" s="684"/>
      <c r="J1010" s="684"/>
      <c r="K1010" s="684"/>
      <c r="L1010" s="684"/>
      <c r="M1010" s="685"/>
    </row>
    <row r="1011" spans="4:13" s="682" customFormat="1" x14ac:dyDescent="0.2">
      <c r="D1011" s="683"/>
      <c r="F1011" s="684"/>
      <c r="G1011" s="684"/>
      <c r="H1011" s="684"/>
      <c r="I1011" s="684"/>
      <c r="J1011" s="684"/>
      <c r="K1011" s="684"/>
      <c r="L1011" s="684"/>
      <c r="M1011" s="685"/>
    </row>
    <row r="1012" spans="4:13" s="682" customFormat="1" x14ac:dyDescent="0.2">
      <c r="D1012" s="683"/>
      <c r="F1012" s="684"/>
      <c r="G1012" s="684"/>
      <c r="H1012" s="684"/>
      <c r="I1012" s="684"/>
      <c r="J1012" s="684"/>
      <c r="K1012" s="684"/>
      <c r="L1012" s="684"/>
      <c r="M1012" s="685"/>
    </row>
    <row r="1013" spans="4:13" s="682" customFormat="1" x14ac:dyDescent="0.2">
      <c r="D1013" s="683"/>
      <c r="F1013" s="684"/>
      <c r="G1013" s="684"/>
      <c r="H1013" s="684"/>
      <c r="I1013" s="684"/>
      <c r="J1013" s="684"/>
      <c r="K1013" s="684"/>
      <c r="L1013" s="684"/>
      <c r="M1013" s="685"/>
    </row>
    <row r="1014" spans="4:13" s="682" customFormat="1" x14ac:dyDescent="0.2">
      <c r="D1014" s="683"/>
      <c r="F1014" s="684"/>
      <c r="G1014" s="684"/>
      <c r="H1014" s="684"/>
      <c r="I1014" s="684"/>
      <c r="J1014" s="684"/>
      <c r="K1014" s="684"/>
      <c r="L1014" s="684"/>
      <c r="M1014" s="685"/>
    </row>
    <row r="1015" spans="4:13" s="682" customFormat="1" x14ac:dyDescent="0.2">
      <c r="D1015" s="683"/>
      <c r="F1015" s="684"/>
      <c r="G1015" s="684"/>
      <c r="H1015" s="684"/>
      <c r="I1015" s="684"/>
      <c r="J1015" s="684"/>
      <c r="K1015" s="684"/>
      <c r="L1015" s="684"/>
      <c r="M1015" s="685"/>
    </row>
    <row r="1016" spans="4:13" s="682" customFormat="1" x14ac:dyDescent="0.2">
      <c r="D1016" s="683"/>
      <c r="F1016" s="684"/>
      <c r="G1016" s="684"/>
      <c r="H1016" s="684"/>
      <c r="I1016" s="684"/>
      <c r="J1016" s="684"/>
      <c r="K1016" s="684"/>
      <c r="L1016" s="684"/>
      <c r="M1016" s="685"/>
    </row>
    <row r="1017" spans="4:13" s="682" customFormat="1" x14ac:dyDescent="0.2">
      <c r="D1017" s="683"/>
      <c r="F1017" s="684"/>
      <c r="G1017" s="684"/>
      <c r="H1017" s="684"/>
      <c r="I1017" s="684"/>
      <c r="J1017" s="684"/>
      <c r="K1017" s="684"/>
      <c r="L1017" s="684"/>
      <c r="M1017" s="685"/>
    </row>
    <row r="1018" spans="4:13" s="682" customFormat="1" x14ac:dyDescent="0.2">
      <c r="D1018" s="683"/>
      <c r="F1018" s="684"/>
      <c r="G1018" s="684"/>
      <c r="H1018" s="684"/>
      <c r="I1018" s="684"/>
      <c r="J1018" s="684"/>
      <c r="K1018" s="684"/>
      <c r="L1018" s="684"/>
      <c r="M1018" s="685"/>
    </row>
    <row r="1019" spans="4:13" s="682" customFormat="1" x14ac:dyDescent="0.2">
      <c r="D1019" s="683"/>
      <c r="F1019" s="684"/>
      <c r="G1019" s="684"/>
      <c r="H1019" s="684"/>
      <c r="I1019" s="684"/>
      <c r="J1019" s="684"/>
      <c r="K1019" s="684"/>
      <c r="L1019" s="684"/>
      <c r="M1019" s="685"/>
    </row>
    <row r="1020" spans="4:13" s="682" customFormat="1" x14ac:dyDescent="0.2">
      <c r="D1020" s="683"/>
      <c r="F1020" s="684"/>
      <c r="G1020" s="684"/>
      <c r="H1020" s="684"/>
      <c r="I1020" s="684"/>
      <c r="J1020" s="684"/>
      <c r="K1020" s="684"/>
      <c r="L1020" s="684"/>
      <c r="M1020" s="685"/>
    </row>
    <row r="1021" spans="4:13" s="682" customFormat="1" x14ac:dyDescent="0.2">
      <c r="D1021" s="683"/>
      <c r="F1021" s="684"/>
      <c r="G1021" s="684"/>
      <c r="H1021" s="684"/>
      <c r="I1021" s="684"/>
      <c r="J1021" s="684"/>
      <c r="K1021" s="684"/>
      <c r="L1021" s="684"/>
      <c r="M1021" s="685"/>
    </row>
    <row r="1022" spans="4:13" s="682" customFormat="1" x14ac:dyDescent="0.2">
      <c r="D1022" s="683"/>
      <c r="F1022" s="684"/>
      <c r="G1022" s="684"/>
      <c r="H1022" s="684"/>
      <c r="I1022" s="684"/>
      <c r="J1022" s="684"/>
      <c r="K1022" s="684"/>
      <c r="L1022" s="684"/>
      <c r="M1022" s="685"/>
    </row>
    <row r="1023" spans="4:13" s="682" customFormat="1" x14ac:dyDescent="0.2">
      <c r="D1023" s="683"/>
      <c r="F1023" s="684"/>
      <c r="G1023" s="684"/>
      <c r="H1023" s="684"/>
      <c r="I1023" s="684"/>
      <c r="J1023" s="684"/>
      <c r="K1023" s="684"/>
      <c r="L1023" s="684"/>
      <c r="M1023" s="685"/>
    </row>
    <row r="1024" spans="4:13" s="682" customFormat="1" x14ac:dyDescent="0.2">
      <c r="D1024" s="683"/>
      <c r="F1024" s="684"/>
      <c r="G1024" s="684"/>
      <c r="H1024" s="684"/>
      <c r="I1024" s="684"/>
      <c r="J1024" s="684"/>
      <c r="K1024" s="684"/>
      <c r="L1024" s="684"/>
      <c r="M1024" s="685"/>
    </row>
    <row r="1025" spans="4:13" s="682" customFormat="1" x14ac:dyDescent="0.2">
      <c r="D1025" s="683"/>
      <c r="F1025" s="684"/>
      <c r="G1025" s="684"/>
      <c r="H1025" s="684"/>
      <c r="I1025" s="684"/>
      <c r="J1025" s="684"/>
      <c r="K1025" s="684"/>
      <c r="L1025" s="684"/>
      <c r="M1025" s="685"/>
    </row>
    <row r="1026" spans="4:13" s="682" customFormat="1" x14ac:dyDescent="0.2">
      <c r="D1026" s="683"/>
      <c r="F1026" s="684"/>
      <c r="G1026" s="684"/>
      <c r="H1026" s="684"/>
      <c r="I1026" s="684"/>
      <c r="J1026" s="684"/>
      <c r="K1026" s="684"/>
      <c r="L1026" s="684"/>
      <c r="M1026" s="685"/>
    </row>
    <row r="1027" spans="4:13" s="682" customFormat="1" x14ac:dyDescent="0.2">
      <c r="D1027" s="683"/>
      <c r="F1027" s="684"/>
      <c r="G1027" s="684"/>
      <c r="H1027" s="684"/>
      <c r="I1027" s="684"/>
      <c r="J1027" s="684"/>
      <c r="K1027" s="684"/>
      <c r="L1027" s="684"/>
      <c r="M1027" s="685"/>
    </row>
    <row r="1028" spans="4:13" s="682" customFormat="1" x14ac:dyDescent="0.2">
      <c r="D1028" s="683"/>
      <c r="F1028" s="684"/>
      <c r="G1028" s="684"/>
      <c r="H1028" s="684"/>
      <c r="I1028" s="684"/>
      <c r="J1028" s="684"/>
      <c r="K1028" s="684"/>
      <c r="L1028" s="684"/>
      <c r="M1028" s="685"/>
    </row>
    <row r="1029" spans="4:13" s="682" customFormat="1" x14ac:dyDescent="0.2">
      <c r="D1029" s="683"/>
      <c r="F1029" s="684"/>
      <c r="G1029" s="684"/>
      <c r="H1029" s="684"/>
      <c r="I1029" s="684"/>
      <c r="J1029" s="684"/>
      <c r="K1029" s="684"/>
      <c r="L1029" s="684"/>
      <c r="M1029" s="685"/>
    </row>
    <row r="1030" spans="4:13" s="682" customFormat="1" x14ac:dyDescent="0.2">
      <c r="D1030" s="683"/>
      <c r="F1030" s="684"/>
      <c r="G1030" s="684"/>
      <c r="H1030" s="684"/>
      <c r="I1030" s="684"/>
      <c r="J1030" s="684"/>
      <c r="K1030" s="684"/>
      <c r="L1030" s="684"/>
      <c r="M1030" s="685"/>
    </row>
    <row r="1031" spans="4:13" s="682" customFormat="1" x14ac:dyDescent="0.2">
      <c r="D1031" s="683"/>
      <c r="F1031" s="684"/>
      <c r="G1031" s="684"/>
      <c r="H1031" s="684"/>
      <c r="I1031" s="684"/>
      <c r="J1031" s="684"/>
      <c r="K1031" s="684"/>
      <c r="L1031" s="684"/>
      <c r="M1031" s="685"/>
    </row>
    <row r="1032" spans="4:13" s="682" customFormat="1" x14ac:dyDescent="0.2">
      <c r="D1032" s="683"/>
      <c r="F1032" s="684"/>
      <c r="G1032" s="684"/>
      <c r="H1032" s="684"/>
      <c r="I1032" s="684"/>
      <c r="J1032" s="684"/>
      <c r="K1032" s="684"/>
      <c r="L1032" s="684"/>
      <c r="M1032" s="685"/>
    </row>
    <row r="1033" spans="4:13" s="682" customFormat="1" x14ac:dyDescent="0.2">
      <c r="D1033" s="683"/>
      <c r="F1033" s="684"/>
      <c r="G1033" s="684"/>
      <c r="H1033" s="684"/>
      <c r="I1033" s="684"/>
      <c r="J1033" s="684"/>
      <c r="K1033" s="684"/>
      <c r="L1033" s="684"/>
      <c r="M1033" s="685"/>
    </row>
    <row r="1034" spans="4:13" s="682" customFormat="1" x14ac:dyDescent="0.2">
      <c r="D1034" s="683"/>
      <c r="F1034" s="684"/>
      <c r="G1034" s="684"/>
      <c r="H1034" s="684"/>
      <c r="I1034" s="684"/>
      <c r="J1034" s="684"/>
      <c r="K1034" s="684"/>
      <c r="L1034" s="684"/>
      <c r="M1034" s="685"/>
    </row>
    <row r="1035" spans="4:13" s="682" customFormat="1" x14ac:dyDescent="0.2">
      <c r="D1035" s="683"/>
      <c r="F1035" s="684"/>
      <c r="G1035" s="684"/>
      <c r="H1035" s="684"/>
      <c r="I1035" s="684"/>
      <c r="J1035" s="684"/>
      <c r="K1035" s="684"/>
      <c r="L1035" s="684"/>
      <c r="M1035" s="685"/>
    </row>
    <row r="1036" spans="4:13" s="682" customFormat="1" x14ac:dyDescent="0.2">
      <c r="D1036" s="683"/>
      <c r="F1036" s="684"/>
      <c r="G1036" s="684"/>
      <c r="H1036" s="684"/>
      <c r="I1036" s="684"/>
      <c r="J1036" s="684"/>
      <c r="K1036" s="684"/>
      <c r="L1036" s="684"/>
      <c r="M1036" s="685"/>
    </row>
    <row r="1037" spans="4:13" s="682" customFormat="1" x14ac:dyDescent="0.2">
      <c r="D1037" s="683"/>
      <c r="F1037" s="684"/>
      <c r="G1037" s="684"/>
      <c r="H1037" s="684"/>
      <c r="I1037" s="684"/>
      <c r="J1037" s="684"/>
      <c r="K1037" s="684"/>
      <c r="L1037" s="684"/>
      <c r="M1037" s="685"/>
    </row>
    <row r="1038" spans="4:13" s="682" customFormat="1" x14ac:dyDescent="0.2">
      <c r="D1038" s="683"/>
      <c r="F1038" s="684"/>
      <c r="G1038" s="684"/>
      <c r="H1038" s="684"/>
      <c r="I1038" s="684"/>
      <c r="J1038" s="684"/>
      <c r="K1038" s="684"/>
      <c r="L1038" s="684"/>
      <c r="M1038" s="685"/>
    </row>
    <row r="1039" spans="4:13" s="682" customFormat="1" x14ac:dyDescent="0.2">
      <c r="D1039" s="683"/>
      <c r="F1039" s="684"/>
      <c r="G1039" s="684"/>
      <c r="H1039" s="684"/>
      <c r="I1039" s="684"/>
      <c r="J1039" s="684"/>
      <c r="K1039" s="684"/>
      <c r="L1039" s="684"/>
      <c r="M1039" s="685"/>
    </row>
    <row r="1040" spans="4:13" s="682" customFormat="1" x14ac:dyDescent="0.2">
      <c r="D1040" s="683"/>
      <c r="F1040" s="684"/>
      <c r="G1040" s="684"/>
      <c r="H1040" s="684"/>
      <c r="I1040" s="684"/>
      <c r="J1040" s="684"/>
      <c r="K1040" s="684"/>
      <c r="L1040" s="684"/>
      <c r="M1040" s="685"/>
    </row>
    <row r="1041" spans="4:13" s="682" customFormat="1" x14ac:dyDescent="0.2">
      <c r="D1041" s="683"/>
      <c r="F1041" s="684"/>
      <c r="G1041" s="684"/>
      <c r="H1041" s="684"/>
      <c r="I1041" s="684"/>
      <c r="J1041" s="684"/>
      <c r="K1041" s="684"/>
      <c r="L1041" s="684"/>
      <c r="M1041" s="685"/>
    </row>
    <row r="1042" spans="4:13" s="682" customFormat="1" x14ac:dyDescent="0.2">
      <c r="D1042" s="683"/>
      <c r="F1042" s="684"/>
      <c r="G1042" s="684"/>
      <c r="H1042" s="684"/>
      <c r="I1042" s="684"/>
      <c r="J1042" s="684"/>
      <c r="K1042" s="684"/>
      <c r="L1042" s="684"/>
      <c r="M1042" s="685"/>
    </row>
    <row r="1043" spans="4:13" s="682" customFormat="1" x14ac:dyDescent="0.2">
      <c r="D1043" s="683"/>
      <c r="F1043" s="684"/>
      <c r="G1043" s="684"/>
      <c r="H1043" s="684"/>
      <c r="I1043" s="684"/>
      <c r="J1043" s="684"/>
      <c r="K1043" s="684"/>
      <c r="L1043" s="684"/>
      <c r="M1043" s="685"/>
    </row>
    <row r="1044" spans="4:13" s="682" customFormat="1" x14ac:dyDescent="0.2">
      <c r="D1044" s="683"/>
      <c r="F1044" s="684"/>
      <c r="G1044" s="684"/>
      <c r="H1044" s="684"/>
      <c r="I1044" s="684"/>
      <c r="J1044" s="684"/>
      <c r="K1044" s="684"/>
      <c r="L1044" s="684"/>
      <c r="M1044" s="685"/>
    </row>
    <row r="1045" spans="4:13" s="682" customFormat="1" x14ac:dyDescent="0.2">
      <c r="D1045" s="683"/>
      <c r="F1045" s="684"/>
      <c r="G1045" s="684"/>
      <c r="H1045" s="684"/>
      <c r="I1045" s="684"/>
      <c r="J1045" s="684"/>
      <c r="K1045" s="684"/>
      <c r="L1045" s="684"/>
      <c r="M1045" s="685"/>
    </row>
    <row r="1046" spans="4:13" s="682" customFormat="1" x14ac:dyDescent="0.2">
      <c r="D1046" s="683"/>
      <c r="F1046" s="684"/>
      <c r="G1046" s="684"/>
      <c r="H1046" s="684"/>
      <c r="I1046" s="684"/>
      <c r="J1046" s="684"/>
      <c r="K1046" s="684"/>
      <c r="L1046" s="684"/>
      <c r="M1046" s="685"/>
    </row>
    <row r="1047" spans="4:13" s="682" customFormat="1" x14ac:dyDescent="0.2">
      <c r="D1047" s="683"/>
      <c r="F1047" s="684"/>
      <c r="G1047" s="684"/>
      <c r="H1047" s="684"/>
      <c r="I1047" s="684"/>
      <c r="J1047" s="684"/>
      <c r="K1047" s="684"/>
      <c r="L1047" s="684"/>
      <c r="M1047" s="685"/>
    </row>
    <row r="1048" spans="4:13" s="682" customFormat="1" x14ac:dyDescent="0.2">
      <c r="D1048" s="683"/>
      <c r="F1048" s="684"/>
      <c r="G1048" s="684"/>
      <c r="H1048" s="684"/>
      <c r="I1048" s="684"/>
      <c r="J1048" s="684"/>
      <c r="K1048" s="684"/>
      <c r="L1048" s="684"/>
      <c r="M1048" s="685"/>
    </row>
    <row r="1049" spans="4:13" s="682" customFormat="1" x14ac:dyDescent="0.2">
      <c r="D1049" s="683"/>
      <c r="F1049" s="684"/>
      <c r="G1049" s="684"/>
      <c r="H1049" s="684"/>
      <c r="I1049" s="684"/>
      <c r="J1049" s="684"/>
      <c r="K1049" s="684"/>
      <c r="L1049" s="684"/>
      <c r="M1049" s="685"/>
    </row>
    <row r="1050" spans="4:13" s="682" customFormat="1" x14ac:dyDescent="0.2">
      <c r="D1050" s="683"/>
      <c r="F1050" s="684"/>
      <c r="G1050" s="684"/>
      <c r="H1050" s="684"/>
      <c r="I1050" s="684"/>
      <c r="J1050" s="684"/>
      <c r="K1050" s="684"/>
      <c r="L1050" s="684"/>
      <c r="M1050" s="685"/>
    </row>
    <row r="1051" spans="4:13" s="682" customFormat="1" x14ac:dyDescent="0.2">
      <c r="D1051" s="683"/>
      <c r="F1051" s="684"/>
      <c r="G1051" s="684"/>
      <c r="H1051" s="684"/>
      <c r="I1051" s="684"/>
      <c r="J1051" s="684"/>
      <c r="K1051" s="684"/>
      <c r="L1051" s="684"/>
      <c r="M1051" s="685"/>
    </row>
    <row r="1052" spans="4:13" s="682" customFormat="1" x14ac:dyDescent="0.2">
      <c r="D1052" s="683"/>
      <c r="F1052" s="684"/>
      <c r="G1052" s="684"/>
      <c r="H1052" s="684"/>
      <c r="I1052" s="684"/>
      <c r="J1052" s="684"/>
      <c r="K1052" s="684"/>
      <c r="L1052" s="684"/>
      <c r="M1052" s="685"/>
    </row>
    <row r="1053" spans="4:13" s="682" customFormat="1" x14ac:dyDescent="0.2">
      <c r="D1053" s="683"/>
      <c r="F1053" s="684"/>
      <c r="G1053" s="684"/>
      <c r="H1053" s="684"/>
      <c r="I1053" s="684"/>
      <c r="J1053" s="684"/>
      <c r="K1053" s="684"/>
      <c r="L1053" s="684"/>
      <c r="M1053" s="685"/>
    </row>
    <row r="1054" spans="4:13" s="682" customFormat="1" x14ac:dyDescent="0.2">
      <c r="D1054" s="683"/>
      <c r="F1054" s="684"/>
      <c r="G1054" s="684"/>
      <c r="H1054" s="684"/>
      <c r="I1054" s="684"/>
      <c r="J1054" s="684"/>
      <c r="K1054" s="684"/>
      <c r="L1054" s="684"/>
      <c r="M1054" s="685"/>
    </row>
    <row r="1055" spans="4:13" s="682" customFormat="1" x14ac:dyDescent="0.2">
      <c r="D1055" s="683"/>
      <c r="F1055" s="684"/>
      <c r="G1055" s="684"/>
      <c r="H1055" s="684"/>
      <c r="I1055" s="684"/>
      <c r="J1055" s="684"/>
      <c r="K1055" s="684"/>
      <c r="L1055" s="684"/>
      <c r="M1055" s="685"/>
    </row>
    <row r="1056" spans="4:13" s="682" customFormat="1" x14ac:dyDescent="0.2">
      <c r="D1056" s="683"/>
      <c r="F1056" s="684"/>
      <c r="G1056" s="684"/>
      <c r="H1056" s="684"/>
      <c r="I1056" s="684"/>
      <c r="J1056" s="684"/>
      <c r="K1056" s="684"/>
      <c r="L1056" s="684"/>
      <c r="M1056" s="685"/>
    </row>
    <row r="1057" spans="4:13" s="682" customFormat="1" x14ac:dyDescent="0.2">
      <c r="D1057" s="683"/>
      <c r="F1057" s="684"/>
      <c r="G1057" s="684"/>
      <c r="H1057" s="684"/>
      <c r="I1057" s="684"/>
      <c r="J1057" s="684"/>
      <c r="K1057" s="684"/>
      <c r="L1057" s="684"/>
      <c r="M1057" s="685"/>
    </row>
    <row r="1058" spans="4:13" s="682" customFormat="1" x14ac:dyDescent="0.2">
      <c r="D1058" s="683"/>
      <c r="F1058" s="684"/>
      <c r="G1058" s="684"/>
      <c r="H1058" s="684"/>
      <c r="I1058" s="684"/>
      <c r="J1058" s="684"/>
      <c r="K1058" s="684"/>
      <c r="L1058" s="684"/>
      <c r="M1058" s="685"/>
    </row>
    <row r="1059" spans="4:13" s="682" customFormat="1" x14ac:dyDescent="0.2">
      <c r="D1059" s="683"/>
      <c r="F1059" s="684"/>
      <c r="G1059" s="684"/>
      <c r="H1059" s="684"/>
      <c r="I1059" s="684"/>
      <c r="J1059" s="684"/>
      <c r="K1059" s="684"/>
      <c r="L1059" s="684"/>
      <c r="M1059" s="685"/>
    </row>
    <row r="1060" spans="4:13" s="682" customFormat="1" x14ac:dyDescent="0.2">
      <c r="D1060" s="683"/>
      <c r="F1060" s="684"/>
      <c r="G1060" s="684"/>
      <c r="H1060" s="684"/>
      <c r="I1060" s="684"/>
      <c r="J1060" s="684"/>
      <c r="K1060" s="684"/>
      <c r="L1060" s="684"/>
      <c r="M1060" s="685"/>
    </row>
    <row r="1061" spans="4:13" s="682" customFormat="1" x14ac:dyDescent="0.2">
      <c r="D1061" s="683"/>
      <c r="F1061" s="684"/>
      <c r="G1061" s="684"/>
      <c r="H1061" s="684"/>
      <c r="I1061" s="684"/>
      <c r="J1061" s="684"/>
      <c r="K1061" s="684"/>
      <c r="L1061" s="684"/>
      <c r="M1061" s="685"/>
    </row>
    <row r="1062" spans="4:13" s="682" customFormat="1" x14ac:dyDescent="0.2">
      <c r="D1062" s="683"/>
      <c r="F1062" s="684"/>
      <c r="G1062" s="684"/>
      <c r="H1062" s="684"/>
      <c r="I1062" s="684"/>
      <c r="J1062" s="684"/>
      <c r="K1062" s="684"/>
      <c r="L1062" s="684"/>
      <c r="M1062" s="685"/>
    </row>
    <row r="1063" spans="4:13" s="682" customFormat="1" x14ac:dyDescent="0.2">
      <c r="D1063" s="683"/>
      <c r="F1063" s="684"/>
      <c r="G1063" s="684"/>
      <c r="H1063" s="684"/>
      <c r="I1063" s="684"/>
      <c r="J1063" s="684"/>
      <c r="K1063" s="684"/>
      <c r="L1063" s="684"/>
      <c r="M1063" s="685"/>
    </row>
    <row r="1064" spans="4:13" s="682" customFormat="1" x14ac:dyDescent="0.2">
      <c r="D1064" s="683"/>
      <c r="F1064" s="684"/>
      <c r="G1064" s="684"/>
      <c r="H1064" s="684"/>
      <c r="I1064" s="684"/>
      <c r="J1064" s="684"/>
      <c r="K1064" s="684"/>
      <c r="L1064" s="684"/>
      <c r="M1064" s="685"/>
    </row>
    <row r="1065" spans="4:13" s="682" customFormat="1" x14ac:dyDescent="0.2">
      <c r="D1065" s="683"/>
      <c r="F1065" s="684"/>
      <c r="G1065" s="684"/>
      <c r="H1065" s="684"/>
      <c r="I1065" s="684"/>
      <c r="J1065" s="684"/>
      <c r="K1065" s="684"/>
      <c r="L1065" s="684"/>
      <c r="M1065" s="685"/>
    </row>
    <row r="1066" spans="4:13" s="682" customFormat="1" x14ac:dyDescent="0.2">
      <c r="D1066" s="683"/>
      <c r="F1066" s="684"/>
      <c r="G1066" s="684"/>
      <c r="H1066" s="684"/>
      <c r="I1066" s="684"/>
      <c r="J1066" s="684"/>
      <c r="K1066" s="684"/>
      <c r="L1066" s="684"/>
      <c r="M1066" s="685"/>
    </row>
    <row r="1067" spans="4:13" s="682" customFormat="1" x14ac:dyDescent="0.2">
      <c r="D1067" s="683"/>
      <c r="F1067" s="684"/>
      <c r="G1067" s="684"/>
      <c r="H1067" s="684"/>
      <c r="I1067" s="684"/>
      <c r="J1067" s="684"/>
      <c r="K1067" s="684"/>
      <c r="L1067" s="684"/>
      <c r="M1067" s="685"/>
    </row>
    <row r="1068" spans="4:13" s="682" customFormat="1" x14ac:dyDescent="0.2">
      <c r="D1068" s="683"/>
      <c r="F1068" s="684"/>
      <c r="G1068" s="684"/>
      <c r="H1068" s="684"/>
      <c r="I1068" s="684"/>
      <c r="J1068" s="684"/>
      <c r="K1068" s="684"/>
      <c r="L1068" s="684"/>
      <c r="M1068" s="685"/>
    </row>
    <row r="1069" spans="4:13" s="682" customFormat="1" x14ac:dyDescent="0.2">
      <c r="D1069" s="683"/>
      <c r="F1069" s="684"/>
      <c r="G1069" s="684"/>
      <c r="H1069" s="684"/>
      <c r="I1069" s="684"/>
      <c r="J1069" s="684"/>
      <c r="K1069" s="684"/>
      <c r="L1069" s="684"/>
      <c r="M1069" s="685"/>
    </row>
    <row r="1070" spans="4:13" s="682" customFormat="1" x14ac:dyDescent="0.2">
      <c r="D1070" s="683"/>
      <c r="F1070" s="684"/>
      <c r="G1070" s="684"/>
      <c r="H1070" s="684"/>
      <c r="I1070" s="684"/>
      <c r="J1070" s="684"/>
      <c r="K1070" s="684"/>
      <c r="L1070" s="684"/>
      <c r="M1070" s="685"/>
    </row>
    <row r="1071" spans="4:13" s="682" customFormat="1" x14ac:dyDescent="0.2">
      <c r="D1071" s="683"/>
      <c r="F1071" s="684"/>
      <c r="G1071" s="684"/>
      <c r="H1071" s="684"/>
      <c r="I1071" s="684"/>
      <c r="J1071" s="684"/>
      <c r="K1071" s="684"/>
      <c r="L1071" s="684"/>
      <c r="M1071" s="685"/>
    </row>
    <row r="1072" spans="4:13" s="682" customFormat="1" x14ac:dyDescent="0.2">
      <c r="D1072" s="683"/>
      <c r="F1072" s="684"/>
      <c r="G1072" s="684"/>
      <c r="H1072" s="684"/>
      <c r="I1072" s="684"/>
      <c r="J1072" s="684"/>
      <c r="K1072" s="684"/>
      <c r="L1072" s="684"/>
      <c r="M1072" s="685"/>
    </row>
    <row r="1073" spans="4:13" s="682" customFormat="1" x14ac:dyDescent="0.2">
      <c r="D1073" s="683"/>
      <c r="F1073" s="684"/>
      <c r="G1073" s="684"/>
      <c r="H1073" s="684"/>
      <c r="I1073" s="684"/>
      <c r="J1073" s="684"/>
      <c r="K1073" s="684"/>
      <c r="L1073" s="684"/>
      <c r="M1073" s="685"/>
    </row>
    <row r="1074" spans="4:13" s="682" customFormat="1" x14ac:dyDescent="0.2">
      <c r="D1074" s="683"/>
      <c r="F1074" s="684"/>
      <c r="G1074" s="684"/>
      <c r="H1074" s="684"/>
      <c r="I1074" s="684"/>
      <c r="J1074" s="684"/>
      <c r="K1074" s="684"/>
      <c r="L1074" s="684"/>
      <c r="M1074" s="685"/>
    </row>
    <row r="1075" spans="4:13" s="682" customFormat="1" x14ac:dyDescent="0.2">
      <c r="D1075" s="683"/>
      <c r="F1075" s="684"/>
      <c r="G1075" s="684"/>
      <c r="H1075" s="684"/>
      <c r="I1075" s="684"/>
      <c r="J1075" s="684"/>
      <c r="K1075" s="684"/>
      <c r="L1075" s="684"/>
      <c r="M1075" s="685"/>
    </row>
    <row r="1076" spans="4:13" s="682" customFormat="1" x14ac:dyDescent="0.2">
      <c r="D1076" s="683"/>
      <c r="F1076" s="684"/>
      <c r="G1076" s="684"/>
      <c r="H1076" s="684"/>
      <c r="I1076" s="684"/>
      <c r="J1076" s="684"/>
      <c r="K1076" s="684"/>
      <c r="L1076" s="684"/>
      <c r="M1076" s="685"/>
    </row>
    <row r="1077" spans="4:13" s="682" customFormat="1" x14ac:dyDescent="0.2">
      <c r="D1077" s="683"/>
      <c r="F1077" s="684"/>
      <c r="G1077" s="684"/>
      <c r="H1077" s="684"/>
      <c r="I1077" s="684"/>
      <c r="J1077" s="684"/>
      <c r="K1077" s="684"/>
      <c r="L1077" s="684"/>
      <c r="M1077" s="685"/>
    </row>
    <row r="1078" spans="4:13" s="682" customFormat="1" x14ac:dyDescent="0.2">
      <c r="D1078" s="683"/>
      <c r="F1078" s="684"/>
      <c r="G1078" s="684"/>
      <c r="H1078" s="684"/>
      <c r="I1078" s="684"/>
      <c r="J1078" s="684"/>
      <c r="K1078" s="684"/>
      <c r="L1078" s="684"/>
      <c r="M1078" s="685"/>
    </row>
    <row r="1079" spans="4:13" s="682" customFormat="1" x14ac:dyDescent="0.2">
      <c r="D1079" s="683"/>
      <c r="F1079" s="684"/>
      <c r="G1079" s="684"/>
      <c r="H1079" s="684"/>
      <c r="I1079" s="684"/>
      <c r="J1079" s="684"/>
      <c r="K1079" s="684"/>
      <c r="L1079" s="684"/>
      <c r="M1079" s="685"/>
    </row>
    <row r="1080" spans="4:13" s="682" customFormat="1" x14ac:dyDescent="0.2">
      <c r="D1080" s="683"/>
      <c r="F1080" s="684"/>
      <c r="G1080" s="684"/>
      <c r="H1080" s="684"/>
      <c r="I1080" s="684"/>
      <c r="J1080" s="684"/>
      <c r="K1080" s="684"/>
      <c r="L1080" s="684"/>
      <c r="M1080" s="685"/>
    </row>
    <row r="1081" spans="4:13" s="682" customFormat="1" x14ac:dyDescent="0.2">
      <c r="D1081" s="683"/>
      <c r="F1081" s="684"/>
      <c r="G1081" s="684"/>
      <c r="H1081" s="684"/>
      <c r="I1081" s="684"/>
      <c r="J1081" s="684"/>
      <c r="K1081" s="684"/>
      <c r="L1081" s="684"/>
      <c r="M1081" s="685"/>
    </row>
    <row r="1082" spans="4:13" s="682" customFormat="1" x14ac:dyDescent="0.2">
      <c r="D1082" s="683"/>
      <c r="F1082" s="684"/>
      <c r="G1082" s="684"/>
      <c r="H1082" s="684"/>
      <c r="I1082" s="684"/>
      <c r="J1082" s="684"/>
      <c r="K1082" s="684"/>
      <c r="L1082" s="684"/>
      <c r="M1082" s="685"/>
    </row>
    <row r="1083" spans="4:13" s="682" customFormat="1" x14ac:dyDescent="0.2">
      <c r="D1083" s="683"/>
      <c r="F1083" s="684"/>
      <c r="G1083" s="684"/>
      <c r="H1083" s="684"/>
      <c r="I1083" s="684"/>
      <c r="J1083" s="684"/>
      <c r="K1083" s="684"/>
      <c r="L1083" s="684"/>
      <c r="M1083" s="685"/>
    </row>
    <row r="1084" spans="4:13" s="682" customFormat="1" x14ac:dyDescent="0.2">
      <c r="D1084" s="683"/>
      <c r="F1084" s="684"/>
      <c r="G1084" s="684"/>
      <c r="H1084" s="684"/>
      <c r="I1084" s="684"/>
      <c r="J1084" s="684"/>
      <c r="K1084" s="684"/>
      <c r="L1084" s="684"/>
      <c r="M1084" s="685"/>
    </row>
    <row r="1085" spans="4:13" s="682" customFormat="1" x14ac:dyDescent="0.2">
      <c r="D1085" s="683"/>
      <c r="F1085" s="684"/>
      <c r="G1085" s="684"/>
      <c r="H1085" s="684"/>
      <c r="I1085" s="684"/>
      <c r="J1085" s="684"/>
      <c r="K1085" s="684"/>
      <c r="L1085" s="684"/>
      <c r="M1085" s="685"/>
    </row>
    <row r="1086" spans="4:13" s="682" customFormat="1" x14ac:dyDescent="0.2">
      <c r="D1086" s="683"/>
      <c r="F1086" s="684"/>
      <c r="G1086" s="684"/>
      <c r="H1086" s="684"/>
      <c r="I1086" s="684"/>
      <c r="J1086" s="684"/>
      <c r="K1086" s="684"/>
      <c r="L1086" s="684"/>
      <c r="M1086" s="685"/>
    </row>
    <row r="1087" spans="4:13" s="682" customFormat="1" x14ac:dyDescent="0.2">
      <c r="D1087" s="683"/>
      <c r="F1087" s="684"/>
      <c r="G1087" s="684"/>
      <c r="H1087" s="684"/>
      <c r="I1087" s="684"/>
      <c r="J1087" s="684"/>
      <c r="K1087" s="684"/>
      <c r="L1087" s="684"/>
      <c r="M1087" s="685"/>
    </row>
    <row r="1088" spans="4:13" s="682" customFormat="1" x14ac:dyDescent="0.2">
      <c r="D1088" s="683"/>
      <c r="F1088" s="684"/>
      <c r="G1088" s="684"/>
      <c r="H1088" s="684"/>
      <c r="I1088" s="684"/>
      <c r="J1088" s="684"/>
      <c r="K1088" s="684"/>
      <c r="L1088" s="684"/>
      <c r="M1088" s="685"/>
    </row>
    <row r="1089" spans="4:13" s="682" customFormat="1" x14ac:dyDescent="0.2">
      <c r="D1089" s="683"/>
      <c r="F1089" s="684"/>
      <c r="G1089" s="684"/>
      <c r="H1089" s="684"/>
      <c r="I1089" s="684"/>
      <c r="J1089" s="684"/>
      <c r="K1089" s="684"/>
      <c r="L1089" s="684"/>
      <c r="M1089" s="685"/>
    </row>
    <row r="1090" spans="4:13" s="682" customFormat="1" x14ac:dyDescent="0.2">
      <c r="D1090" s="683"/>
      <c r="F1090" s="684"/>
      <c r="G1090" s="684"/>
      <c r="H1090" s="684"/>
      <c r="I1090" s="684"/>
      <c r="J1090" s="684"/>
      <c r="K1090" s="684"/>
      <c r="L1090" s="684"/>
      <c r="M1090" s="685"/>
    </row>
    <row r="1091" spans="4:13" s="682" customFormat="1" x14ac:dyDescent="0.2">
      <c r="D1091" s="683"/>
      <c r="F1091" s="684"/>
      <c r="G1091" s="684"/>
      <c r="H1091" s="684"/>
      <c r="I1091" s="684"/>
      <c r="J1091" s="684"/>
      <c r="K1091" s="684"/>
      <c r="L1091" s="684"/>
      <c r="M1091" s="685"/>
    </row>
    <row r="1092" spans="4:13" s="682" customFormat="1" x14ac:dyDescent="0.2">
      <c r="D1092" s="683"/>
      <c r="F1092" s="684"/>
      <c r="G1092" s="684"/>
      <c r="H1092" s="684"/>
      <c r="I1092" s="684"/>
      <c r="J1092" s="684"/>
      <c r="K1092" s="684"/>
      <c r="L1092" s="684"/>
      <c r="M1092" s="685"/>
    </row>
    <row r="1093" spans="4:13" s="682" customFormat="1" x14ac:dyDescent="0.2">
      <c r="D1093" s="683"/>
      <c r="F1093" s="684"/>
      <c r="G1093" s="684"/>
      <c r="H1093" s="684"/>
      <c r="I1093" s="684"/>
      <c r="J1093" s="684"/>
      <c r="K1093" s="684"/>
      <c r="L1093" s="684"/>
      <c r="M1093" s="685"/>
    </row>
    <row r="1094" spans="4:13" s="682" customFormat="1" x14ac:dyDescent="0.2">
      <c r="D1094" s="683"/>
      <c r="F1094" s="684"/>
      <c r="G1094" s="684"/>
      <c r="H1094" s="684"/>
      <c r="I1094" s="684"/>
      <c r="J1094" s="684"/>
      <c r="K1094" s="684"/>
      <c r="L1094" s="684"/>
      <c r="M1094" s="685"/>
    </row>
    <row r="1095" spans="4:13" s="682" customFormat="1" x14ac:dyDescent="0.2">
      <c r="D1095" s="683"/>
      <c r="F1095" s="684"/>
      <c r="G1095" s="684"/>
      <c r="H1095" s="684"/>
      <c r="I1095" s="684"/>
      <c r="J1095" s="684"/>
      <c r="K1095" s="684"/>
      <c r="L1095" s="684"/>
      <c r="M1095" s="685"/>
    </row>
    <row r="1096" spans="4:13" s="682" customFormat="1" x14ac:dyDescent="0.2">
      <c r="D1096" s="683"/>
      <c r="F1096" s="684"/>
      <c r="G1096" s="684"/>
      <c r="H1096" s="684"/>
      <c r="I1096" s="684"/>
      <c r="J1096" s="684"/>
      <c r="K1096" s="684"/>
      <c r="L1096" s="684"/>
      <c r="M1096" s="685"/>
    </row>
    <row r="1097" spans="4:13" s="682" customFormat="1" x14ac:dyDescent="0.2">
      <c r="D1097" s="683"/>
      <c r="F1097" s="684"/>
      <c r="G1097" s="684"/>
      <c r="H1097" s="684"/>
      <c r="I1097" s="684"/>
      <c r="J1097" s="684"/>
      <c r="K1097" s="684"/>
      <c r="L1097" s="684"/>
      <c r="M1097" s="685"/>
    </row>
    <row r="1098" spans="4:13" s="682" customFormat="1" x14ac:dyDescent="0.2">
      <c r="D1098" s="683"/>
      <c r="F1098" s="684"/>
      <c r="G1098" s="684"/>
      <c r="H1098" s="684"/>
      <c r="I1098" s="684"/>
      <c r="J1098" s="684"/>
      <c r="K1098" s="684"/>
      <c r="L1098" s="684"/>
      <c r="M1098" s="685"/>
    </row>
    <row r="1099" spans="4:13" s="682" customFormat="1" x14ac:dyDescent="0.2">
      <c r="D1099" s="683"/>
      <c r="F1099" s="684"/>
      <c r="G1099" s="684"/>
      <c r="H1099" s="684"/>
      <c r="I1099" s="684"/>
      <c r="J1099" s="684"/>
      <c r="K1099" s="684"/>
      <c r="L1099" s="684"/>
      <c r="M1099" s="685"/>
    </row>
    <row r="1100" spans="4:13" s="682" customFormat="1" x14ac:dyDescent="0.2">
      <c r="D1100" s="683"/>
      <c r="F1100" s="684"/>
      <c r="G1100" s="684"/>
      <c r="H1100" s="684"/>
      <c r="I1100" s="684"/>
      <c r="J1100" s="684"/>
      <c r="K1100" s="684"/>
      <c r="L1100" s="684"/>
      <c r="M1100" s="685"/>
    </row>
    <row r="1101" spans="4:13" s="682" customFormat="1" x14ac:dyDescent="0.2">
      <c r="D1101" s="683"/>
      <c r="F1101" s="684"/>
      <c r="G1101" s="684"/>
      <c r="H1101" s="684"/>
      <c r="I1101" s="684"/>
      <c r="J1101" s="684"/>
      <c r="K1101" s="684"/>
      <c r="L1101" s="684"/>
      <c r="M1101" s="685"/>
    </row>
    <row r="1102" spans="4:13" s="682" customFormat="1" x14ac:dyDescent="0.2">
      <c r="D1102" s="683"/>
      <c r="F1102" s="684"/>
      <c r="G1102" s="684"/>
      <c r="H1102" s="684"/>
      <c r="I1102" s="684"/>
      <c r="J1102" s="684"/>
      <c r="K1102" s="684"/>
      <c r="L1102" s="684"/>
      <c r="M1102" s="685"/>
    </row>
    <row r="1103" spans="4:13" s="682" customFormat="1" x14ac:dyDescent="0.2">
      <c r="D1103" s="683"/>
      <c r="F1103" s="684"/>
      <c r="G1103" s="684"/>
      <c r="H1103" s="684"/>
      <c r="I1103" s="684"/>
      <c r="J1103" s="684"/>
      <c r="K1103" s="684"/>
      <c r="L1103" s="684"/>
      <c r="M1103" s="685"/>
    </row>
    <row r="1104" spans="4:13" s="682" customFormat="1" x14ac:dyDescent="0.2">
      <c r="D1104" s="683"/>
      <c r="F1104" s="684"/>
      <c r="G1104" s="684"/>
      <c r="H1104" s="684"/>
      <c r="I1104" s="684"/>
      <c r="J1104" s="684"/>
      <c r="K1104" s="684"/>
      <c r="L1104" s="684"/>
      <c r="M1104" s="685"/>
    </row>
    <row r="1105" spans="4:13" s="682" customFormat="1" x14ac:dyDescent="0.2">
      <c r="D1105" s="683"/>
      <c r="F1105" s="684"/>
      <c r="G1105" s="684"/>
      <c r="H1105" s="684"/>
      <c r="I1105" s="684"/>
      <c r="J1105" s="684"/>
      <c r="K1105" s="684"/>
      <c r="L1105" s="684"/>
      <c r="M1105" s="685"/>
    </row>
    <row r="1106" spans="4:13" s="682" customFormat="1" x14ac:dyDescent="0.2">
      <c r="D1106" s="683"/>
      <c r="F1106" s="684"/>
      <c r="G1106" s="684"/>
      <c r="H1106" s="684"/>
      <c r="I1106" s="684"/>
      <c r="J1106" s="684"/>
      <c r="K1106" s="684"/>
      <c r="L1106" s="684"/>
      <c r="M1106" s="685"/>
    </row>
    <row r="1107" spans="4:13" s="682" customFormat="1" x14ac:dyDescent="0.2">
      <c r="D1107" s="683"/>
      <c r="F1107" s="684"/>
      <c r="G1107" s="684"/>
      <c r="H1107" s="684"/>
      <c r="I1107" s="684"/>
      <c r="J1107" s="684"/>
      <c r="K1107" s="684"/>
      <c r="L1107" s="684"/>
      <c r="M1107" s="685"/>
    </row>
    <row r="1108" spans="4:13" s="682" customFormat="1" x14ac:dyDescent="0.2">
      <c r="D1108" s="683"/>
      <c r="F1108" s="684"/>
      <c r="G1108" s="684"/>
      <c r="H1108" s="684"/>
      <c r="I1108" s="684"/>
      <c r="J1108" s="684"/>
      <c r="K1108" s="684"/>
      <c r="L1108" s="684"/>
      <c r="M1108" s="685"/>
    </row>
    <row r="1109" spans="4:13" s="682" customFormat="1" x14ac:dyDescent="0.2">
      <c r="D1109" s="683"/>
      <c r="F1109" s="684"/>
      <c r="G1109" s="684"/>
      <c r="H1109" s="684"/>
      <c r="I1109" s="684"/>
      <c r="J1109" s="684"/>
      <c r="K1109" s="684"/>
      <c r="L1109" s="684"/>
      <c r="M1109" s="685"/>
    </row>
    <row r="1110" spans="4:13" s="682" customFormat="1" x14ac:dyDescent="0.2">
      <c r="D1110" s="683"/>
      <c r="F1110" s="684"/>
      <c r="G1110" s="684"/>
      <c r="H1110" s="684"/>
      <c r="I1110" s="684"/>
      <c r="J1110" s="684"/>
      <c r="K1110" s="684"/>
      <c r="L1110" s="684"/>
      <c r="M1110" s="685"/>
    </row>
    <row r="1111" spans="4:13" s="682" customFormat="1" x14ac:dyDescent="0.2">
      <c r="D1111" s="683"/>
      <c r="F1111" s="684"/>
      <c r="G1111" s="684"/>
      <c r="H1111" s="684"/>
      <c r="I1111" s="684"/>
      <c r="J1111" s="684"/>
      <c r="K1111" s="684"/>
      <c r="L1111" s="684"/>
      <c r="M1111" s="685"/>
    </row>
    <row r="1112" spans="4:13" s="682" customFormat="1" x14ac:dyDescent="0.2">
      <c r="D1112" s="683"/>
      <c r="F1112" s="684"/>
      <c r="G1112" s="684"/>
      <c r="H1112" s="684"/>
      <c r="I1112" s="684"/>
      <c r="J1112" s="684"/>
      <c r="K1112" s="684"/>
      <c r="L1112" s="684"/>
      <c r="M1112" s="685"/>
    </row>
    <row r="1113" spans="4:13" s="682" customFormat="1" x14ac:dyDescent="0.2">
      <c r="D1113" s="683"/>
      <c r="F1113" s="684"/>
      <c r="G1113" s="684"/>
      <c r="H1113" s="684"/>
      <c r="I1113" s="684"/>
      <c r="J1113" s="684"/>
      <c r="K1113" s="684"/>
      <c r="L1113" s="684"/>
      <c r="M1113" s="685"/>
    </row>
    <row r="1114" spans="4:13" s="682" customFormat="1" x14ac:dyDescent="0.2">
      <c r="D1114" s="683"/>
      <c r="F1114" s="684"/>
      <c r="G1114" s="684"/>
      <c r="H1114" s="684"/>
      <c r="I1114" s="684"/>
      <c r="J1114" s="684"/>
      <c r="K1114" s="684"/>
      <c r="L1114" s="684"/>
      <c r="M1114" s="685"/>
    </row>
    <row r="1115" spans="4:13" s="682" customFormat="1" x14ac:dyDescent="0.2">
      <c r="D1115" s="683"/>
      <c r="F1115" s="684"/>
      <c r="G1115" s="684"/>
      <c r="H1115" s="684"/>
      <c r="I1115" s="684"/>
      <c r="J1115" s="684"/>
      <c r="K1115" s="684"/>
      <c r="L1115" s="684"/>
      <c r="M1115" s="685"/>
    </row>
    <row r="1116" spans="4:13" s="682" customFormat="1" x14ac:dyDescent="0.2">
      <c r="D1116" s="683"/>
      <c r="F1116" s="684"/>
      <c r="G1116" s="684"/>
      <c r="H1116" s="684"/>
      <c r="I1116" s="684"/>
      <c r="J1116" s="684"/>
      <c r="K1116" s="684"/>
      <c r="L1116" s="684"/>
      <c r="M1116" s="685"/>
    </row>
    <row r="1117" spans="4:13" s="682" customFormat="1" x14ac:dyDescent="0.2">
      <c r="D1117" s="683"/>
      <c r="F1117" s="684"/>
      <c r="G1117" s="684"/>
      <c r="H1117" s="684"/>
      <c r="I1117" s="684"/>
      <c r="J1117" s="684"/>
      <c r="K1117" s="684"/>
      <c r="L1117" s="684"/>
      <c r="M1117" s="685"/>
    </row>
    <row r="1118" spans="4:13" s="682" customFormat="1" x14ac:dyDescent="0.2">
      <c r="D1118" s="683"/>
      <c r="F1118" s="684"/>
      <c r="G1118" s="684"/>
      <c r="H1118" s="684"/>
      <c r="I1118" s="684"/>
      <c r="J1118" s="684"/>
      <c r="K1118" s="684"/>
      <c r="L1118" s="684"/>
      <c r="M1118" s="685"/>
    </row>
    <row r="1119" spans="4:13" s="682" customFormat="1" x14ac:dyDescent="0.2">
      <c r="D1119" s="683"/>
      <c r="F1119" s="684"/>
      <c r="G1119" s="684"/>
      <c r="H1119" s="684"/>
      <c r="I1119" s="684"/>
      <c r="J1119" s="684"/>
      <c r="K1119" s="684"/>
      <c r="L1119" s="684"/>
      <c r="M1119" s="685"/>
    </row>
    <row r="1120" spans="4:13" s="682" customFormat="1" x14ac:dyDescent="0.2">
      <c r="D1120" s="683"/>
      <c r="F1120" s="684"/>
      <c r="G1120" s="684"/>
      <c r="H1120" s="684"/>
      <c r="I1120" s="684"/>
      <c r="J1120" s="684"/>
      <c r="K1120" s="684"/>
      <c r="L1120" s="684"/>
      <c r="M1120" s="685"/>
    </row>
    <row r="1121" spans="4:13" s="682" customFormat="1" x14ac:dyDescent="0.2">
      <c r="D1121" s="683"/>
      <c r="F1121" s="684"/>
      <c r="G1121" s="684"/>
      <c r="H1121" s="684"/>
      <c r="I1121" s="684"/>
      <c r="J1121" s="684"/>
      <c r="K1121" s="684"/>
      <c r="L1121" s="684"/>
      <c r="M1121" s="685"/>
    </row>
    <row r="1122" spans="4:13" s="682" customFormat="1" x14ac:dyDescent="0.2">
      <c r="D1122" s="683"/>
      <c r="F1122" s="684"/>
      <c r="G1122" s="684"/>
      <c r="H1122" s="684"/>
      <c r="I1122" s="684"/>
      <c r="J1122" s="684"/>
      <c r="K1122" s="684"/>
      <c r="L1122" s="684"/>
      <c r="M1122" s="685"/>
    </row>
    <row r="1123" spans="4:13" s="682" customFormat="1" x14ac:dyDescent="0.2">
      <c r="D1123" s="683"/>
      <c r="F1123" s="684"/>
      <c r="G1123" s="684"/>
      <c r="H1123" s="684"/>
      <c r="I1123" s="684"/>
      <c r="J1123" s="684"/>
      <c r="K1123" s="684"/>
      <c r="L1123" s="684"/>
      <c r="M1123" s="685"/>
    </row>
    <row r="1124" spans="4:13" s="682" customFormat="1" x14ac:dyDescent="0.2">
      <c r="D1124" s="683"/>
      <c r="F1124" s="684"/>
      <c r="G1124" s="684"/>
      <c r="H1124" s="684"/>
      <c r="I1124" s="684"/>
      <c r="J1124" s="684"/>
      <c r="K1124" s="684"/>
      <c r="L1124" s="684"/>
      <c r="M1124" s="685"/>
    </row>
    <row r="1125" spans="4:13" s="682" customFormat="1" x14ac:dyDescent="0.2">
      <c r="D1125" s="683"/>
      <c r="F1125" s="684"/>
      <c r="G1125" s="684"/>
      <c r="H1125" s="684"/>
      <c r="I1125" s="684"/>
      <c r="J1125" s="684"/>
      <c r="K1125" s="684"/>
      <c r="L1125" s="684"/>
      <c r="M1125" s="685"/>
    </row>
    <row r="1126" spans="4:13" s="682" customFormat="1" x14ac:dyDescent="0.2">
      <c r="D1126" s="683"/>
      <c r="F1126" s="684"/>
      <c r="G1126" s="684"/>
      <c r="H1126" s="684"/>
      <c r="I1126" s="684"/>
      <c r="J1126" s="684"/>
      <c r="K1126" s="684"/>
      <c r="L1126" s="684"/>
      <c r="M1126" s="685"/>
    </row>
    <row r="1127" spans="4:13" s="682" customFormat="1" x14ac:dyDescent="0.2">
      <c r="D1127" s="683"/>
      <c r="F1127" s="684"/>
      <c r="G1127" s="684"/>
      <c r="H1127" s="684"/>
      <c r="I1127" s="684"/>
      <c r="J1127" s="684"/>
      <c r="K1127" s="684"/>
      <c r="L1127" s="684"/>
      <c r="M1127" s="685"/>
    </row>
    <row r="1128" spans="4:13" s="682" customFormat="1" x14ac:dyDescent="0.2">
      <c r="D1128" s="683"/>
      <c r="F1128" s="684"/>
      <c r="G1128" s="684"/>
      <c r="H1128" s="684"/>
      <c r="I1128" s="684"/>
      <c r="J1128" s="684"/>
      <c r="K1128" s="684"/>
      <c r="L1128" s="684"/>
      <c r="M1128" s="685"/>
    </row>
    <row r="1129" spans="4:13" s="682" customFormat="1" x14ac:dyDescent="0.2">
      <c r="D1129" s="683"/>
      <c r="F1129" s="684"/>
      <c r="G1129" s="684"/>
      <c r="H1129" s="684"/>
      <c r="I1129" s="684"/>
      <c r="J1129" s="684"/>
      <c r="K1129" s="684"/>
      <c r="L1129" s="684"/>
      <c r="M1129" s="685"/>
    </row>
    <row r="1130" spans="4:13" s="682" customFormat="1" x14ac:dyDescent="0.2">
      <c r="D1130" s="683"/>
      <c r="F1130" s="684"/>
      <c r="G1130" s="684"/>
      <c r="H1130" s="684"/>
      <c r="I1130" s="684"/>
      <c r="J1130" s="684"/>
      <c r="K1130" s="684"/>
      <c r="L1130" s="684"/>
      <c r="M1130" s="685"/>
    </row>
    <row r="1131" spans="4:13" s="682" customFormat="1" x14ac:dyDescent="0.2">
      <c r="D1131" s="683"/>
      <c r="F1131" s="684"/>
      <c r="G1131" s="684"/>
      <c r="H1131" s="684"/>
      <c r="I1131" s="684"/>
      <c r="J1131" s="684"/>
      <c r="K1131" s="684"/>
      <c r="L1131" s="684"/>
      <c r="M1131" s="685"/>
    </row>
    <row r="1132" spans="4:13" s="682" customFormat="1" x14ac:dyDescent="0.2">
      <c r="D1132" s="683"/>
      <c r="F1132" s="684"/>
      <c r="G1132" s="684"/>
      <c r="H1132" s="684"/>
      <c r="I1132" s="684"/>
      <c r="J1132" s="684"/>
      <c r="K1132" s="684"/>
      <c r="L1132" s="684"/>
      <c r="M1132" s="685"/>
    </row>
    <row r="1133" spans="4:13" s="682" customFormat="1" x14ac:dyDescent="0.2">
      <c r="D1133" s="683"/>
      <c r="F1133" s="684"/>
      <c r="G1133" s="684"/>
      <c r="H1133" s="684"/>
      <c r="I1133" s="684"/>
      <c r="J1133" s="684"/>
      <c r="K1133" s="684"/>
      <c r="L1133" s="684"/>
      <c r="M1133" s="685"/>
    </row>
    <row r="1134" spans="4:13" s="682" customFormat="1" x14ac:dyDescent="0.2">
      <c r="D1134" s="683"/>
      <c r="F1134" s="684"/>
      <c r="G1134" s="684"/>
      <c r="H1134" s="684"/>
      <c r="I1134" s="684"/>
      <c r="J1134" s="684"/>
      <c r="K1134" s="684"/>
      <c r="L1134" s="684"/>
      <c r="M1134" s="685"/>
    </row>
    <row r="1135" spans="4:13" s="682" customFormat="1" x14ac:dyDescent="0.2">
      <c r="D1135" s="683"/>
      <c r="F1135" s="684"/>
      <c r="G1135" s="684"/>
      <c r="H1135" s="684"/>
      <c r="I1135" s="684"/>
      <c r="J1135" s="684"/>
      <c r="K1135" s="684"/>
      <c r="L1135" s="684"/>
      <c r="M1135" s="685"/>
    </row>
    <row r="1136" spans="4:13" s="682" customFormat="1" x14ac:dyDescent="0.2">
      <c r="D1136" s="683"/>
      <c r="F1136" s="684"/>
      <c r="G1136" s="684"/>
      <c r="H1136" s="684"/>
      <c r="I1136" s="684"/>
      <c r="J1136" s="684"/>
      <c r="K1136" s="684"/>
      <c r="L1136" s="684"/>
      <c r="M1136" s="685"/>
    </row>
    <row r="1137" spans="4:13" s="682" customFormat="1" x14ac:dyDescent="0.2">
      <c r="D1137" s="683"/>
      <c r="F1137" s="684"/>
      <c r="G1137" s="684"/>
      <c r="H1137" s="684"/>
      <c r="I1137" s="684"/>
      <c r="J1137" s="684"/>
      <c r="K1137" s="684"/>
      <c r="L1137" s="684"/>
      <c r="M1137" s="685"/>
    </row>
    <row r="1138" spans="4:13" s="682" customFormat="1" x14ac:dyDescent="0.2">
      <c r="D1138" s="683"/>
      <c r="F1138" s="684"/>
      <c r="G1138" s="684"/>
      <c r="H1138" s="684"/>
      <c r="I1138" s="684"/>
      <c r="J1138" s="684"/>
      <c r="K1138" s="684"/>
      <c r="L1138" s="684"/>
      <c r="M1138" s="685"/>
    </row>
    <row r="1139" spans="4:13" s="682" customFormat="1" x14ac:dyDescent="0.2">
      <c r="D1139" s="683"/>
      <c r="F1139" s="684"/>
      <c r="G1139" s="684"/>
      <c r="H1139" s="684"/>
      <c r="I1139" s="684"/>
      <c r="J1139" s="684"/>
      <c r="K1139" s="684"/>
      <c r="L1139" s="684"/>
      <c r="M1139" s="685"/>
    </row>
    <row r="1140" spans="4:13" s="682" customFormat="1" x14ac:dyDescent="0.2">
      <c r="D1140" s="683"/>
      <c r="F1140" s="684"/>
      <c r="G1140" s="684"/>
      <c r="H1140" s="684"/>
      <c r="I1140" s="684"/>
      <c r="J1140" s="684"/>
      <c r="K1140" s="684"/>
      <c r="L1140" s="684"/>
      <c r="M1140" s="685"/>
    </row>
    <row r="1141" spans="4:13" s="682" customFormat="1" x14ac:dyDescent="0.2">
      <c r="D1141" s="683"/>
      <c r="F1141" s="684"/>
      <c r="G1141" s="684"/>
      <c r="H1141" s="684"/>
      <c r="I1141" s="684"/>
      <c r="J1141" s="684"/>
      <c r="K1141" s="684"/>
      <c r="L1141" s="684"/>
      <c r="M1141" s="685"/>
    </row>
    <row r="1142" spans="4:13" s="682" customFormat="1" x14ac:dyDescent="0.2">
      <c r="D1142" s="683"/>
      <c r="F1142" s="684"/>
      <c r="G1142" s="684"/>
      <c r="H1142" s="684"/>
      <c r="I1142" s="684"/>
      <c r="J1142" s="684"/>
      <c r="K1142" s="684"/>
      <c r="L1142" s="684"/>
      <c r="M1142" s="685"/>
    </row>
    <row r="1143" spans="4:13" s="682" customFormat="1" x14ac:dyDescent="0.2">
      <c r="D1143" s="683"/>
      <c r="F1143" s="684"/>
      <c r="G1143" s="684"/>
      <c r="H1143" s="684"/>
      <c r="I1143" s="684"/>
      <c r="J1143" s="684"/>
      <c r="K1143" s="684"/>
      <c r="L1143" s="684"/>
      <c r="M1143" s="685"/>
    </row>
    <row r="1144" spans="4:13" s="682" customFormat="1" x14ac:dyDescent="0.2">
      <c r="D1144" s="683"/>
      <c r="F1144" s="684"/>
      <c r="G1144" s="684"/>
      <c r="H1144" s="684"/>
      <c r="I1144" s="684"/>
      <c r="J1144" s="684"/>
      <c r="K1144" s="684"/>
      <c r="L1144" s="684"/>
      <c r="M1144" s="685"/>
    </row>
    <row r="1145" spans="4:13" s="682" customFormat="1" x14ac:dyDescent="0.2">
      <c r="D1145" s="683"/>
      <c r="F1145" s="684"/>
      <c r="G1145" s="684"/>
      <c r="H1145" s="684"/>
      <c r="I1145" s="684"/>
      <c r="J1145" s="684"/>
      <c r="K1145" s="684"/>
      <c r="L1145" s="684"/>
      <c r="M1145" s="685"/>
    </row>
    <row r="1146" spans="4:13" s="682" customFormat="1" x14ac:dyDescent="0.2">
      <c r="D1146" s="683"/>
      <c r="F1146" s="684"/>
      <c r="G1146" s="684"/>
      <c r="H1146" s="684"/>
      <c r="I1146" s="684"/>
      <c r="J1146" s="684"/>
      <c r="K1146" s="684"/>
      <c r="L1146" s="684"/>
      <c r="M1146" s="685"/>
    </row>
    <row r="1147" spans="4:13" s="682" customFormat="1" x14ac:dyDescent="0.2">
      <c r="D1147" s="683"/>
      <c r="F1147" s="684"/>
      <c r="G1147" s="684"/>
      <c r="H1147" s="684"/>
      <c r="I1147" s="684"/>
      <c r="J1147" s="684"/>
      <c r="K1147" s="684"/>
      <c r="L1147" s="684"/>
      <c r="M1147" s="685"/>
    </row>
    <row r="1148" spans="4:13" s="682" customFormat="1" x14ac:dyDescent="0.2">
      <c r="D1148" s="683"/>
      <c r="F1148" s="684"/>
      <c r="G1148" s="684"/>
      <c r="H1148" s="684"/>
      <c r="I1148" s="684"/>
      <c r="J1148" s="684"/>
      <c r="K1148" s="684"/>
      <c r="L1148" s="684"/>
      <c r="M1148" s="685"/>
    </row>
    <row r="1149" spans="4:13" s="682" customFormat="1" x14ac:dyDescent="0.2">
      <c r="D1149" s="683"/>
      <c r="F1149" s="684"/>
      <c r="G1149" s="684"/>
      <c r="H1149" s="684"/>
      <c r="I1149" s="684"/>
      <c r="J1149" s="684"/>
      <c r="K1149" s="684"/>
      <c r="L1149" s="684"/>
      <c r="M1149" s="685"/>
    </row>
    <row r="1150" spans="4:13" s="682" customFormat="1" x14ac:dyDescent="0.2">
      <c r="D1150" s="683"/>
      <c r="F1150" s="684"/>
      <c r="G1150" s="684"/>
      <c r="H1150" s="684"/>
      <c r="I1150" s="684"/>
      <c r="J1150" s="684"/>
      <c r="K1150" s="684"/>
      <c r="L1150" s="684"/>
      <c r="M1150" s="685"/>
    </row>
    <row r="1151" spans="4:13" s="682" customFormat="1" x14ac:dyDescent="0.2">
      <c r="D1151" s="683"/>
      <c r="F1151" s="684"/>
      <c r="G1151" s="684"/>
      <c r="H1151" s="684"/>
      <c r="I1151" s="684"/>
      <c r="J1151" s="684"/>
      <c r="K1151" s="684"/>
      <c r="L1151" s="684"/>
      <c r="M1151" s="685"/>
    </row>
    <row r="1152" spans="4:13" s="682" customFormat="1" x14ac:dyDescent="0.2">
      <c r="D1152" s="683"/>
      <c r="F1152" s="684"/>
      <c r="G1152" s="684"/>
      <c r="H1152" s="684"/>
      <c r="I1152" s="684"/>
      <c r="J1152" s="684"/>
      <c r="K1152" s="684"/>
      <c r="L1152" s="684"/>
      <c r="M1152" s="685"/>
    </row>
    <row r="1153" spans="4:13" s="682" customFormat="1" x14ac:dyDescent="0.2">
      <c r="D1153" s="683"/>
      <c r="F1153" s="684"/>
      <c r="G1153" s="684"/>
      <c r="H1153" s="684"/>
      <c r="I1153" s="684"/>
      <c r="J1153" s="684"/>
      <c r="K1153" s="684"/>
      <c r="L1153" s="684"/>
      <c r="M1153" s="685"/>
    </row>
    <row r="1154" spans="4:13" s="682" customFormat="1" x14ac:dyDescent="0.2">
      <c r="D1154" s="683"/>
      <c r="F1154" s="684"/>
      <c r="G1154" s="684"/>
      <c r="H1154" s="684"/>
      <c r="I1154" s="684"/>
      <c r="J1154" s="684"/>
      <c r="K1154" s="684"/>
      <c r="L1154" s="684"/>
      <c r="M1154" s="685"/>
    </row>
    <row r="1155" spans="4:13" s="682" customFormat="1" x14ac:dyDescent="0.2">
      <c r="D1155" s="683"/>
      <c r="F1155" s="684"/>
      <c r="G1155" s="684"/>
      <c r="H1155" s="684"/>
      <c r="I1155" s="684"/>
      <c r="J1155" s="684"/>
      <c r="K1155" s="684"/>
      <c r="L1155" s="684"/>
      <c r="M1155" s="685"/>
    </row>
    <row r="1156" spans="4:13" s="682" customFormat="1" x14ac:dyDescent="0.2">
      <c r="D1156" s="683"/>
      <c r="F1156" s="684"/>
      <c r="G1156" s="684"/>
      <c r="H1156" s="684"/>
      <c r="I1156" s="684"/>
      <c r="J1156" s="684"/>
      <c r="K1156" s="684"/>
      <c r="L1156" s="684"/>
      <c r="M1156" s="685"/>
    </row>
    <row r="1157" spans="4:13" s="682" customFormat="1" x14ac:dyDescent="0.2">
      <c r="D1157" s="683"/>
      <c r="F1157" s="684"/>
      <c r="G1157" s="684"/>
      <c r="H1157" s="684"/>
      <c r="I1157" s="684"/>
      <c r="J1157" s="684"/>
      <c r="K1157" s="684"/>
      <c r="L1157" s="684"/>
      <c r="M1157" s="685"/>
    </row>
    <row r="1158" spans="4:13" s="682" customFormat="1" x14ac:dyDescent="0.2">
      <c r="D1158" s="683"/>
      <c r="F1158" s="684"/>
      <c r="G1158" s="684"/>
      <c r="H1158" s="684"/>
      <c r="I1158" s="684"/>
      <c r="J1158" s="684"/>
      <c r="K1158" s="684"/>
      <c r="L1158" s="684"/>
      <c r="M1158" s="685"/>
    </row>
    <row r="1159" spans="4:13" s="682" customFormat="1" x14ac:dyDescent="0.2">
      <c r="D1159" s="683"/>
      <c r="F1159" s="684"/>
      <c r="G1159" s="684"/>
      <c r="H1159" s="684"/>
      <c r="I1159" s="684"/>
      <c r="J1159" s="684"/>
      <c r="K1159" s="684"/>
      <c r="L1159" s="684"/>
      <c r="M1159" s="685"/>
    </row>
    <row r="1160" spans="4:13" s="682" customFormat="1" x14ac:dyDescent="0.2">
      <c r="D1160" s="683"/>
      <c r="F1160" s="684"/>
      <c r="G1160" s="684"/>
      <c r="H1160" s="684"/>
      <c r="I1160" s="684"/>
      <c r="J1160" s="684"/>
      <c r="K1160" s="684"/>
      <c r="L1160" s="684"/>
      <c r="M1160" s="685"/>
    </row>
    <row r="1161" spans="4:13" s="682" customFormat="1" x14ac:dyDescent="0.2">
      <c r="D1161" s="683"/>
      <c r="F1161" s="684"/>
      <c r="G1161" s="684"/>
      <c r="H1161" s="684"/>
      <c r="I1161" s="684"/>
      <c r="J1161" s="684"/>
      <c r="K1161" s="684"/>
      <c r="L1161" s="684"/>
      <c r="M1161" s="685"/>
    </row>
    <row r="1162" spans="4:13" s="682" customFormat="1" x14ac:dyDescent="0.2">
      <c r="D1162" s="683"/>
      <c r="F1162" s="684"/>
      <c r="G1162" s="684"/>
      <c r="H1162" s="684"/>
      <c r="I1162" s="684"/>
      <c r="J1162" s="684"/>
      <c r="K1162" s="684"/>
      <c r="L1162" s="684"/>
      <c r="M1162" s="685"/>
    </row>
    <row r="1163" spans="4:13" s="682" customFormat="1" x14ac:dyDescent="0.2">
      <c r="D1163" s="683"/>
      <c r="F1163" s="684"/>
      <c r="G1163" s="684"/>
      <c r="H1163" s="684"/>
      <c r="I1163" s="684"/>
      <c r="J1163" s="684"/>
      <c r="K1163" s="684"/>
      <c r="L1163" s="684"/>
      <c r="M1163" s="685"/>
    </row>
    <row r="1164" spans="4:13" s="682" customFormat="1" x14ac:dyDescent="0.2">
      <c r="D1164" s="683"/>
      <c r="F1164" s="684"/>
      <c r="G1164" s="684"/>
      <c r="H1164" s="684"/>
      <c r="I1164" s="684"/>
      <c r="J1164" s="684"/>
      <c r="K1164" s="684"/>
      <c r="L1164" s="684"/>
      <c r="M1164" s="685"/>
    </row>
    <row r="1165" spans="4:13" s="682" customFormat="1" x14ac:dyDescent="0.2">
      <c r="D1165" s="683"/>
      <c r="F1165" s="684"/>
      <c r="G1165" s="684"/>
      <c r="H1165" s="684"/>
      <c r="I1165" s="684"/>
      <c r="J1165" s="684"/>
      <c r="K1165" s="684"/>
      <c r="L1165" s="684"/>
      <c r="M1165" s="685"/>
    </row>
    <row r="1166" spans="4:13" s="682" customFormat="1" x14ac:dyDescent="0.2">
      <c r="D1166" s="683"/>
      <c r="F1166" s="684"/>
      <c r="G1166" s="684"/>
      <c r="H1166" s="684"/>
      <c r="I1166" s="684"/>
      <c r="J1166" s="684"/>
      <c r="K1166" s="684"/>
      <c r="L1166" s="684"/>
      <c r="M1166" s="685"/>
    </row>
    <row r="1167" spans="4:13" s="682" customFormat="1" x14ac:dyDescent="0.2">
      <c r="D1167" s="683"/>
      <c r="F1167" s="684"/>
      <c r="G1167" s="684"/>
      <c r="H1167" s="684"/>
      <c r="I1167" s="684"/>
      <c r="J1167" s="684"/>
      <c r="K1167" s="684"/>
      <c r="L1167" s="684"/>
      <c r="M1167" s="685"/>
    </row>
    <row r="1168" spans="4:13" s="682" customFormat="1" x14ac:dyDescent="0.2">
      <c r="D1168" s="683"/>
      <c r="F1168" s="684"/>
      <c r="G1168" s="684"/>
      <c r="H1168" s="684"/>
      <c r="I1168" s="684"/>
      <c r="J1168" s="684"/>
      <c r="K1168" s="684"/>
      <c r="L1168" s="684"/>
      <c r="M1168" s="685"/>
    </row>
    <row r="1169" spans="4:13" s="682" customFormat="1" x14ac:dyDescent="0.2">
      <c r="D1169" s="683"/>
      <c r="F1169" s="684"/>
      <c r="G1169" s="684"/>
      <c r="H1169" s="684"/>
      <c r="I1169" s="684"/>
      <c r="J1169" s="684"/>
      <c r="K1169" s="684"/>
      <c r="L1169" s="684"/>
      <c r="M1169" s="685"/>
    </row>
    <row r="1170" spans="4:13" s="682" customFormat="1" x14ac:dyDescent="0.2">
      <c r="D1170" s="683"/>
      <c r="F1170" s="684"/>
      <c r="G1170" s="684"/>
      <c r="H1170" s="684"/>
      <c r="I1170" s="684"/>
      <c r="J1170" s="684"/>
      <c r="K1170" s="684"/>
      <c r="L1170" s="684"/>
      <c r="M1170" s="685"/>
    </row>
    <row r="1171" spans="4:13" s="682" customFormat="1" x14ac:dyDescent="0.2">
      <c r="D1171" s="683"/>
      <c r="F1171" s="684"/>
      <c r="G1171" s="684"/>
      <c r="H1171" s="684"/>
      <c r="I1171" s="684"/>
      <c r="J1171" s="684"/>
      <c r="K1171" s="684"/>
      <c r="L1171" s="684"/>
      <c r="M1171" s="685"/>
    </row>
    <row r="1172" spans="4:13" s="682" customFormat="1" x14ac:dyDescent="0.2">
      <c r="D1172" s="683"/>
      <c r="F1172" s="684"/>
      <c r="G1172" s="684"/>
      <c r="H1172" s="684"/>
      <c r="I1172" s="684"/>
      <c r="J1172" s="684"/>
      <c r="K1172" s="684"/>
      <c r="L1172" s="684"/>
      <c r="M1172" s="685"/>
    </row>
    <row r="1173" spans="4:13" s="682" customFormat="1" x14ac:dyDescent="0.2">
      <c r="D1173" s="683"/>
      <c r="F1173" s="684"/>
      <c r="G1173" s="684"/>
      <c r="H1173" s="684"/>
      <c r="I1173" s="684"/>
      <c r="J1173" s="684"/>
      <c r="K1173" s="684"/>
      <c r="L1173" s="684"/>
      <c r="M1173" s="685"/>
    </row>
    <row r="1174" spans="4:13" s="682" customFormat="1" x14ac:dyDescent="0.2">
      <c r="D1174" s="683"/>
      <c r="F1174" s="684"/>
      <c r="G1174" s="684"/>
      <c r="H1174" s="684"/>
      <c r="I1174" s="684"/>
      <c r="J1174" s="684"/>
      <c r="K1174" s="684"/>
      <c r="L1174" s="684"/>
      <c r="M1174" s="685"/>
    </row>
    <row r="1175" spans="4:13" s="682" customFormat="1" x14ac:dyDescent="0.2">
      <c r="D1175" s="683"/>
      <c r="F1175" s="684"/>
      <c r="G1175" s="684"/>
      <c r="H1175" s="684"/>
      <c r="I1175" s="684"/>
      <c r="J1175" s="684"/>
      <c r="K1175" s="684"/>
      <c r="L1175" s="684"/>
      <c r="M1175" s="685"/>
    </row>
    <row r="1176" spans="4:13" s="682" customFormat="1" x14ac:dyDescent="0.2">
      <c r="D1176" s="683"/>
      <c r="F1176" s="684"/>
      <c r="G1176" s="684"/>
      <c r="H1176" s="684"/>
      <c r="I1176" s="684"/>
      <c r="J1176" s="684"/>
      <c r="K1176" s="684"/>
      <c r="L1176" s="684"/>
      <c r="M1176" s="685"/>
    </row>
    <row r="1177" spans="4:13" s="682" customFormat="1" x14ac:dyDescent="0.2">
      <c r="D1177" s="683"/>
      <c r="F1177" s="684"/>
      <c r="G1177" s="684"/>
      <c r="H1177" s="684"/>
      <c r="I1177" s="684"/>
      <c r="J1177" s="684"/>
      <c r="K1177" s="684"/>
      <c r="L1177" s="684"/>
      <c r="M1177" s="685"/>
    </row>
    <row r="1178" spans="4:13" s="682" customFormat="1" x14ac:dyDescent="0.2">
      <c r="D1178" s="683"/>
      <c r="F1178" s="684"/>
      <c r="G1178" s="684"/>
      <c r="H1178" s="684"/>
      <c r="I1178" s="684"/>
      <c r="J1178" s="684"/>
      <c r="K1178" s="684"/>
      <c r="L1178" s="684"/>
      <c r="M1178" s="685"/>
    </row>
    <row r="1179" spans="4:13" s="682" customFormat="1" x14ac:dyDescent="0.2">
      <c r="D1179" s="683"/>
      <c r="F1179" s="684"/>
      <c r="G1179" s="684"/>
      <c r="H1179" s="684"/>
      <c r="I1179" s="684"/>
      <c r="J1179" s="684"/>
      <c r="K1179" s="684"/>
      <c r="L1179" s="684"/>
      <c r="M1179" s="685"/>
    </row>
    <row r="1180" spans="4:13" s="682" customFormat="1" x14ac:dyDescent="0.2">
      <c r="D1180" s="683"/>
      <c r="F1180" s="684"/>
      <c r="G1180" s="684"/>
      <c r="H1180" s="684"/>
      <c r="I1180" s="684"/>
      <c r="J1180" s="684"/>
      <c r="K1180" s="684"/>
      <c r="L1180" s="684"/>
      <c r="M1180" s="685"/>
    </row>
    <row r="1181" spans="4:13" s="682" customFormat="1" x14ac:dyDescent="0.2">
      <c r="D1181" s="683"/>
      <c r="F1181" s="684"/>
      <c r="G1181" s="684"/>
      <c r="H1181" s="684"/>
      <c r="I1181" s="684"/>
      <c r="J1181" s="684"/>
      <c r="K1181" s="684"/>
      <c r="L1181" s="684"/>
      <c r="M1181" s="685"/>
    </row>
    <row r="1182" spans="4:13" s="682" customFormat="1" x14ac:dyDescent="0.2">
      <c r="D1182" s="683"/>
      <c r="F1182" s="684"/>
      <c r="G1182" s="684"/>
      <c r="H1182" s="684"/>
      <c r="I1182" s="684"/>
      <c r="J1182" s="684"/>
      <c r="K1182" s="684"/>
      <c r="L1182" s="684"/>
      <c r="M1182" s="685"/>
    </row>
    <row r="1183" spans="4:13" s="682" customFormat="1" x14ac:dyDescent="0.2">
      <c r="D1183" s="683"/>
      <c r="F1183" s="684"/>
      <c r="G1183" s="684"/>
      <c r="H1183" s="684"/>
      <c r="I1183" s="684"/>
      <c r="J1183" s="684"/>
      <c r="K1183" s="684"/>
      <c r="L1183" s="684"/>
      <c r="M1183" s="685"/>
    </row>
    <row r="1184" spans="4:13" s="682" customFormat="1" x14ac:dyDescent="0.2">
      <c r="D1184" s="683"/>
      <c r="F1184" s="684"/>
      <c r="G1184" s="684"/>
      <c r="H1184" s="684"/>
      <c r="I1184" s="684"/>
      <c r="J1184" s="684"/>
      <c r="K1184" s="684"/>
      <c r="L1184" s="684"/>
      <c r="M1184" s="685"/>
    </row>
    <row r="1185" spans="4:13" s="682" customFormat="1" x14ac:dyDescent="0.2">
      <c r="D1185" s="683"/>
      <c r="F1185" s="684"/>
      <c r="G1185" s="684"/>
      <c r="H1185" s="684"/>
      <c r="I1185" s="684"/>
      <c r="J1185" s="684"/>
      <c r="K1185" s="684"/>
      <c r="L1185" s="684"/>
      <c r="M1185" s="685"/>
    </row>
    <row r="1186" spans="4:13" s="682" customFormat="1" x14ac:dyDescent="0.2">
      <c r="D1186" s="683"/>
      <c r="F1186" s="684"/>
      <c r="G1186" s="684"/>
      <c r="H1186" s="684"/>
      <c r="I1186" s="684"/>
      <c r="J1186" s="684"/>
      <c r="K1186" s="684"/>
      <c r="L1186" s="684"/>
      <c r="M1186" s="685"/>
    </row>
    <row r="1187" spans="4:13" s="682" customFormat="1" x14ac:dyDescent="0.2">
      <c r="D1187" s="683"/>
      <c r="F1187" s="684"/>
      <c r="G1187" s="684"/>
      <c r="H1187" s="684"/>
      <c r="I1187" s="684"/>
      <c r="J1187" s="684"/>
      <c r="K1187" s="684"/>
      <c r="L1187" s="684"/>
      <c r="M1187" s="685"/>
    </row>
    <row r="1188" spans="4:13" s="682" customFormat="1" x14ac:dyDescent="0.2">
      <c r="D1188" s="683"/>
      <c r="F1188" s="684"/>
      <c r="G1188" s="684"/>
      <c r="H1188" s="684"/>
      <c r="I1188" s="684"/>
      <c r="J1188" s="684"/>
      <c r="K1188" s="684"/>
      <c r="L1188" s="684"/>
      <c r="M1188" s="685"/>
    </row>
    <row r="1189" spans="4:13" s="682" customFormat="1" x14ac:dyDescent="0.2">
      <c r="D1189" s="683"/>
      <c r="F1189" s="684"/>
      <c r="G1189" s="684"/>
      <c r="H1189" s="684"/>
      <c r="I1189" s="684"/>
      <c r="J1189" s="684"/>
      <c r="K1189" s="684"/>
      <c r="L1189" s="684"/>
      <c r="M1189" s="685"/>
    </row>
    <row r="1190" spans="4:13" s="682" customFormat="1" x14ac:dyDescent="0.2">
      <c r="D1190" s="683"/>
      <c r="F1190" s="684"/>
      <c r="G1190" s="684"/>
      <c r="H1190" s="684"/>
      <c r="I1190" s="684"/>
      <c r="J1190" s="684"/>
      <c r="K1190" s="684"/>
      <c r="L1190" s="684"/>
      <c r="M1190" s="685"/>
    </row>
    <row r="1191" spans="4:13" s="682" customFormat="1" x14ac:dyDescent="0.2">
      <c r="D1191" s="683"/>
      <c r="F1191" s="684"/>
      <c r="G1191" s="684"/>
      <c r="H1191" s="684"/>
      <c r="I1191" s="684"/>
      <c r="J1191" s="684"/>
      <c r="K1191" s="684"/>
      <c r="L1191" s="684"/>
      <c r="M1191" s="685"/>
    </row>
    <row r="1192" spans="4:13" s="682" customFormat="1" x14ac:dyDescent="0.2">
      <c r="D1192" s="683"/>
      <c r="F1192" s="684"/>
      <c r="G1192" s="684"/>
      <c r="H1192" s="684"/>
      <c r="I1192" s="684"/>
      <c r="J1192" s="684"/>
      <c r="K1192" s="684"/>
      <c r="L1192" s="684"/>
      <c r="M1192" s="685"/>
    </row>
    <row r="1193" spans="4:13" s="682" customFormat="1" x14ac:dyDescent="0.2">
      <c r="D1193" s="683"/>
      <c r="F1193" s="684"/>
      <c r="G1193" s="684"/>
      <c r="H1193" s="684"/>
      <c r="I1193" s="684"/>
      <c r="J1193" s="684"/>
      <c r="K1193" s="684"/>
      <c r="L1193" s="684"/>
      <c r="M1193" s="685"/>
    </row>
    <row r="1194" spans="4:13" s="682" customFormat="1" x14ac:dyDescent="0.2">
      <c r="D1194" s="683"/>
      <c r="F1194" s="684"/>
      <c r="G1194" s="684"/>
      <c r="H1194" s="684"/>
      <c r="I1194" s="684"/>
      <c r="J1194" s="684"/>
      <c r="K1194" s="684"/>
      <c r="L1194" s="684"/>
      <c r="M1194" s="685"/>
    </row>
    <row r="1195" spans="4:13" s="682" customFormat="1" x14ac:dyDescent="0.2">
      <c r="D1195" s="683"/>
      <c r="F1195" s="684"/>
      <c r="G1195" s="684"/>
      <c r="H1195" s="684"/>
      <c r="I1195" s="684"/>
      <c r="J1195" s="684"/>
      <c r="K1195" s="684"/>
      <c r="L1195" s="684"/>
      <c r="M1195" s="685"/>
    </row>
    <row r="1196" spans="4:13" s="682" customFormat="1" x14ac:dyDescent="0.2">
      <c r="D1196" s="683"/>
      <c r="F1196" s="684"/>
      <c r="G1196" s="684"/>
      <c r="H1196" s="684"/>
      <c r="I1196" s="684"/>
      <c r="J1196" s="684"/>
      <c r="K1196" s="684"/>
      <c r="L1196" s="684"/>
      <c r="M1196" s="685"/>
    </row>
    <row r="1197" spans="4:13" s="682" customFormat="1" x14ac:dyDescent="0.2">
      <c r="D1197" s="683"/>
      <c r="F1197" s="684"/>
      <c r="G1197" s="684"/>
      <c r="H1197" s="684"/>
      <c r="I1197" s="684"/>
      <c r="J1197" s="684"/>
      <c r="K1197" s="684"/>
      <c r="L1197" s="684"/>
      <c r="M1197" s="685"/>
    </row>
    <row r="1198" spans="4:13" s="682" customFormat="1" x14ac:dyDescent="0.2">
      <c r="D1198" s="683"/>
      <c r="F1198" s="684"/>
      <c r="G1198" s="684"/>
      <c r="H1198" s="684"/>
      <c r="I1198" s="684"/>
      <c r="J1198" s="684"/>
      <c r="K1198" s="684"/>
      <c r="L1198" s="684"/>
      <c r="M1198" s="685"/>
    </row>
    <row r="1199" spans="4:13" s="682" customFormat="1" x14ac:dyDescent="0.2">
      <c r="D1199" s="683"/>
      <c r="F1199" s="684"/>
      <c r="G1199" s="684"/>
      <c r="H1199" s="684"/>
      <c r="I1199" s="684"/>
      <c r="J1199" s="684"/>
      <c r="K1199" s="684"/>
      <c r="L1199" s="684"/>
      <c r="M1199" s="685"/>
    </row>
    <row r="1200" spans="4:13" s="682" customFormat="1" x14ac:dyDescent="0.2">
      <c r="D1200" s="683"/>
      <c r="F1200" s="684"/>
      <c r="G1200" s="684"/>
      <c r="H1200" s="684"/>
      <c r="I1200" s="684"/>
      <c r="J1200" s="684"/>
      <c r="K1200" s="684"/>
      <c r="L1200" s="684"/>
      <c r="M1200" s="685"/>
    </row>
    <row r="1201" spans="4:13" s="682" customFormat="1" x14ac:dyDescent="0.2">
      <c r="D1201" s="683"/>
      <c r="F1201" s="684"/>
      <c r="G1201" s="684"/>
      <c r="H1201" s="684"/>
      <c r="I1201" s="684"/>
      <c r="J1201" s="684"/>
      <c r="K1201" s="684"/>
      <c r="L1201" s="684"/>
      <c r="M1201" s="685"/>
    </row>
    <row r="1202" spans="4:13" s="682" customFormat="1" x14ac:dyDescent="0.2">
      <c r="D1202" s="683"/>
      <c r="F1202" s="684"/>
      <c r="G1202" s="684"/>
      <c r="H1202" s="684"/>
      <c r="I1202" s="684"/>
      <c r="J1202" s="684"/>
      <c r="K1202" s="684"/>
      <c r="L1202" s="684"/>
      <c r="M1202" s="685"/>
    </row>
    <row r="1203" spans="4:13" s="682" customFormat="1" x14ac:dyDescent="0.2">
      <c r="D1203" s="683"/>
      <c r="F1203" s="684"/>
      <c r="G1203" s="684"/>
      <c r="H1203" s="684"/>
      <c r="I1203" s="684"/>
      <c r="J1203" s="684"/>
      <c r="K1203" s="684"/>
      <c r="L1203" s="684"/>
      <c r="M1203" s="685"/>
    </row>
    <row r="1204" spans="4:13" s="682" customFormat="1" x14ac:dyDescent="0.2">
      <c r="D1204" s="683"/>
      <c r="F1204" s="684"/>
      <c r="G1204" s="684"/>
      <c r="H1204" s="684"/>
      <c r="I1204" s="684"/>
      <c r="J1204" s="684"/>
      <c r="K1204" s="684"/>
      <c r="L1204" s="684"/>
      <c r="M1204" s="685"/>
    </row>
    <row r="1205" spans="4:13" s="682" customFormat="1" x14ac:dyDescent="0.2">
      <c r="D1205" s="683"/>
      <c r="F1205" s="684"/>
      <c r="G1205" s="684"/>
      <c r="H1205" s="684"/>
      <c r="I1205" s="684"/>
      <c r="J1205" s="684"/>
      <c r="K1205" s="684"/>
      <c r="L1205" s="684"/>
      <c r="M1205" s="685"/>
    </row>
    <row r="1206" spans="4:13" s="682" customFormat="1" x14ac:dyDescent="0.2">
      <c r="D1206" s="683"/>
      <c r="F1206" s="684"/>
      <c r="G1206" s="684"/>
      <c r="H1206" s="684"/>
      <c r="I1206" s="684"/>
      <c r="J1206" s="684"/>
      <c r="K1206" s="684"/>
      <c r="L1206" s="684"/>
      <c r="M1206" s="685"/>
    </row>
    <row r="1207" spans="4:13" s="682" customFormat="1" x14ac:dyDescent="0.2">
      <c r="D1207" s="683"/>
      <c r="F1207" s="684"/>
      <c r="G1207" s="684"/>
      <c r="H1207" s="684"/>
      <c r="I1207" s="684"/>
      <c r="J1207" s="684"/>
      <c r="K1207" s="684"/>
      <c r="L1207" s="684"/>
      <c r="M1207" s="685"/>
    </row>
    <row r="1208" spans="4:13" s="682" customFormat="1" x14ac:dyDescent="0.2">
      <c r="D1208" s="683"/>
      <c r="F1208" s="684"/>
      <c r="G1208" s="684"/>
      <c r="H1208" s="684"/>
      <c r="I1208" s="684"/>
      <c r="J1208" s="684"/>
      <c r="K1208" s="684"/>
      <c r="L1208" s="684"/>
      <c r="M1208" s="685"/>
    </row>
    <row r="1209" spans="4:13" s="682" customFormat="1" x14ac:dyDescent="0.2">
      <c r="D1209" s="683"/>
      <c r="F1209" s="684"/>
      <c r="G1209" s="684"/>
      <c r="H1209" s="684"/>
      <c r="I1209" s="684"/>
      <c r="J1209" s="684"/>
      <c r="K1209" s="684"/>
      <c r="L1209" s="684"/>
      <c r="M1209" s="685"/>
    </row>
    <row r="1210" spans="4:13" s="682" customFormat="1" x14ac:dyDescent="0.2">
      <c r="D1210" s="683"/>
      <c r="F1210" s="684"/>
      <c r="G1210" s="684"/>
      <c r="H1210" s="684"/>
      <c r="I1210" s="684"/>
      <c r="J1210" s="684"/>
      <c r="K1210" s="684"/>
      <c r="L1210" s="684"/>
      <c r="M1210" s="685"/>
    </row>
    <row r="1211" spans="4:13" s="682" customFormat="1" x14ac:dyDescent="0.2">
      <c r="D1211" s="683"/>
      <c r="F1211" s="684"/>
      <c r="G1211" s="684"/>
      <c r="H1211" s="684"/>
      <c r="I1211" s="684"/>
      <c r="J1211" s="684"/>
      <c r="K1211" s="684"/>
      <c r="L1211" s="684"/>
      <c r="M1211" s="685"/>
    </row>
    <row r="1212" spans="4:13" s="682" customFormat="1" x14ac:dyDescent="0.2">
      <c r="D1212" s="683"/>
      <c r="F1212" s="684"/>
      <c r="G1212" s="684"/>
      <c r="H1212" s="684"/>
      <c r="I1212" s="684"/>
      <c r="J1212" s="684"/>
      <c r="K1212" s="684"/>
      <c r="L1212" s="684"/>
      <c r="M1212" s="685"/>
    </row>
    <row r="1213" spans="4:13" s="682" customFormat="1" x14ac:dyDescent="0.2">
      <c r="D1213" s="683"/>
      <c r="F1213" s="684"/>
      <c r="G1213" s="684"/>
      <c r="H1213" s="684"/>
      <c r="I1213" s="684"/>
      <c r="J1213" s="684"/>
      <c r="K1213" s="684"/>
      <c r="L1213" s="684"/>
      <c r="M1213" s="685"/>
    </row>
    <row r="1214" spans="4:13" s="682" customFormat="1" x14ac:dyDescent="0.2">
      <c r="D1214" s="683"/>
      <c r="F1214" s="684"/>
      <c r="G1214" s="684"/>
      <c r="H1214" s="684"/>
      <c r="I1214" s="684"/>
      <c r="J1214" s="684"/>
      <c r="K1214" s="684"/>
      <c r="L1214" s="684"/>
      <c r="M1214" s="685"/>
    </row>
    <row r="1215" spans="4:13" s="682" customFormat="1" x14ac:dyDescent="0.2">
      <c r="D1215" s="683"/>
      <c r="F1215" s="684"/>
      <c r="G1215" s="684"/>
      <c r="H1215" s="684"/>
      <c r="I1215" s="684"/>
      <c r="J1215" s="684"/>
      <c r="K1215" s="684"/>
      <c r="L1215" s="684"/>
      <c r="M1215" s="685"/>
    </row>
    <row r="1216" spans="4:13" s="682" customFormat="1" x14ac:dyDescent="0.2">
      <c r="D1216" s="683"/>
      <c r="F1216" s="684"/>
      <c r="G1216" s="684"/>
      <c r="H1216" s="684"/>
      <c r="I1216" s="684"/>
      <c r="J1216" s="684"/>
      <c r="K1216" s="684"/>
      <c r="L1216" s="684"/>
      <c r="M1216" s="685"/>
    </row>
    <row r="1217" spans="4:13" s="682" customFormat="1" x14ac:dyDescent="0.2">
      <c r="D1217" s="683"/>
      <c r="F1217" s="684"/>
      <c r="G1217" s="684"/>
      <c r="H1217" s="684"/>
      <c r="I1217" s="684"/>
      <c r="J1217" s="684"/>
      <c r="K1217" s="684"/>
      <c r="L1217" s="684"/>
      <c r="M1217" s="685"/>
    </row>
    <row r="1218" spans="4:13" s="682" customFormat="1" x14ac:dyDescent="0.2">
      <c r="D1218" s="683"/>
      <c r="F1218" s="684"/>
      <c r="G1218" s="684"/>
      <c r="H1218" s="684"/>
      <c r="I1218" s="684"/>
      <c r="J1218" s="684"/>
      <c r="K1218" s="684"/>
      <c r="L1218" s="684"/>
      <c r="M1218" s="685"/>
    </row>
    <row r="1219" spans="4:13" s="682" customFormat="1" x14ac:dyDescent="0.2">
      <c r="D1219" s="683"/>
      <c r="F1219" s="684"/>
      <c r="G1219" s="684"/>
      <c r="H1219" s="684"/>
      <c r="I1219" s="684"/>
      <c r="J1219" s="684"/>
      <c r="K1219" s="684"/>
      <c r="L1219" s="684"/>
      <c r="M1219" s="685"/>
    </row>
    <row r="1220" spans="4:13" s="682" customFormat="1" x14ac:dyDescent="0.2">
      <c r="D1220" s="683"/>
      <c r="F1220" s="684"/>
      <c r="G1220" s="684"/>
      <c r="H1220" s="684"/>
      <c r="I1220" s="684"/>
      <c r="J1220" s="684"/>
      <c r="K1220" s="684"/>
      <c r="L1220" s="684"/>
      <c r="M1220" s="685"/>
    </row>
    <row r="1221" spans="4:13" s="682" customFormat="1" x14ac:dyDescent="0.2">
      <c r="D1221" s="683"/>
      <c r="F1221" s="684"/>
      <c r="G1221" s="684"/>
      <c r="H1221" s="684"/>
      <c r="I1221" s="684"/>
      <c r="J1221" s="684"/>
      <c r="K1221" s="684"/>
      <c r="L1221" s="684"/>
      <c r="M1221" s="685"/>
    </row>
    <row r="1222" spans="4:13" s="682" customFormat="1" x14ac:dyDescent="0.2">
      <c r="D1222" s="683"/>
      <c r="F1222" s="684"/>
      <c r="G1222" s="684"/>
      <c r="H1222" s="684"/>
      <c r="I1222" s="684"/>
      <c r="J1222" s="684"/>
      <c r="K1222" s="684"/>
      <c r="L1222" s="684"/>
      <c r="M1222" s="685"/>
    </row>
    <row r="1223" spans="4:13" s="682" customFormat="1" x14ac:dyDescent="0.2">
      <c r="D1223" s="683"/>
      <c r="F1223" s="684"/>
      <c r="G1223" s="684"/>
      <c r="H1223" s="684"/>
      <c r="I1223" s="684"/>
      <c r="J1223" s="684"/>
      <c r="K1223" s="684"/>
      <c r="L1223" s="684"/>
      <c r="M1223" s="685"/>
    </row>
    <row r="1224" spans="4:13" s="682" customFormat="1" x14ac:dyDescent="0.2">
      <c r="D1224" s="683"/>
      <c r="F1224" s="684"/>
      <c r="G1224" s="684"/>
      <c r="H1224" s="684"/>
      <c r="I1224" s="684"/>
      <c r="J1224" s="684"/>
      <c r="K1224" s="684"/>
      <c r="L1224" s="684"/>
      <c r="M1224" s="685"/>
    </row>
    <row r="1225" spans="4:13" s="682" customFormat="1" x14ac:dyDescent="0.2">
      <c r="D1225" s="683"/>
      <c r="F1225" s="684"/>
      <c r="G1225" s="684"/>
      <c r="H1225" s="684"/>
      <c r="I1225" s="684"/>
      <c r="J1225" s="684"/>
      <c r="K1225" s="684"/>
      <c r="L1225" s="684"/>
      <c r="M1225" s="685"/>
    </row>
    <row r="1226" spans="4:13" s="682" customFormat="1" x14ac:dyDescent="0.2">
      <c r="D1226" s="683"/>
      <c r="F1226" s="684"/>
      <c r="G1226" s="684"/>
      <c r="H1226" s="684"/>
      <c r="I1226" s="684"/>
      <c r="J1226" s="684"/>
      <c r="K1226" s="684"/>
      <c r="L1226" s="684"/>
      <c r="M1226" s="685"/>
    </row>
    <row r="1227" spans="4:13" s="682" customFormat="1" x14ac:dyDescent="0.2">
      <c r="D1227" s="683"/>
      <c r="F1227" s="684"/>
      <c r="G1227" s="684"/>
      <c r="H1227" s="684"/>
      <c r="I1227" s="684"/>
      <c r="J1227" s="684"/>
      <c r="K1227" s="684"/>
      <c r="L1227" s="684"/>
      <c r="M1227" s="685"/>
    </row>
    <row r="1228" spans="4:13" s="682" customFormat="1" x14ac:dyDescent="0.2">
      <c r="D1228" s="683"/>
      <c r="F1228" s="684"/>
      <c r="G1228" s="684"/>
      <c r="H1228" s="684"/>
      <c r="I1228" s="684"/>
      <c r="J1228" s="684"/>
      <c r="K1228" s="684"/>
      <c r="L1228" s="684"/>
      <c r="M1228" s="685"/>
    </row>
    <row r="1229" spans="4:13" s="682" customFormat="1" x14ac:dyDescent="0.2">
      <c r="D1229" s="683"/>
      <c r="F1229" s="684"/>
      <c r="G1229" s="684"/>
      <c r="H1229" s="684"/>
      <c r="I1229" s="684"/>
      <c r="J1229" s="684"/>
      <c r="K1229" s="684"/>
      <c r="L1229" s="684"/>
      <c r="M1229" s="685"/>
    </row>
    <row r="1230" spans="4:13" s="682" customFormat="1" x14ac:dyDescent="0.2">
      <c r="D1230" s="683"/>
      <c r="F1230" s="684"/>
      <c r="G1230" s="684"/>
      <c r="H1230" s="684"/>
      <c r="I1230" s="684"/>
      <c r="J1230" s="684"/>
      <c r="K1230" s="684"/>
      <c r="L1230" s="684"/>
      <c r="M1230" s="685"/>
    </row>
    <row r="1231" spans="4:13" s="682" customFormat="1" x14ac:dyDescent="0.2">
      <c r="D1231" s="683"/>
      <c r="F1231" s="684"/>
      <c r="G1231" s="684"/>
      <c r="H1231" s="684"/>
      <c r="I1231" s="684"/>
      <c r="J1231" s="684"/>
      <c r="K1231" s="684"/>
      <c r="L1231" s="684"/>
      <c r="M1231" s="685"/>
    </row>
    <row r="1232" spans="4:13" s="682" customFormat="1" x14ac:dyDescent="0.2">
      <c r="D1232" s="683"/>
      <c r="F1232" s="684"/>
      <c r="G1232" s="684"/>
      <c r="H1232" s="684"/>
      <c r="I1232" s="684"/>
      <c r="J1232" s="684"/>
      <c r="K1232" s="684"/>
      <c r="L1232" s="684"/>
      <c r="M1232" s="685"/>
    </row>
    <row r="1233" spans="4:13" s="682" customFormat="1" x14ac:dyDescent="0.2">
      <c r="D1233" s="683"/>
      <c r="F1233" s="684"/>
      <c r="G1233" s="684"/>
      <c r="H1233" s="684"/>
      <c r="I1233" s="684"/>
      <c r="J1233" s="684"/>
      <c r="K1233" s="684"/>
      <c r="L1233" s="684"/>
      <c r="M1233" s="685"/>
    </row>
    <row r="1234" spans="4:13" s="682" customFormat="1" x14ac:dyDescent="0.2">
      <c r="D1234" s="683"/>
      <c r="F1234" s="684"/>
      <c r="G1234" s="684"/>
      <c r="H1234" s="684"/>
      <c r="I1234" s="684"/>
      <c r="J1234" s="684"/>
      <c r="K1234" s="684"/>
      <c r="L1234" s="684"/>
      <c r="M1234" s="685"/>
    </row>
  </sheetData>
  <sheetProtection algorithmName="SHA-512" hashValue="YH8Mj92yyEGHwPyXPa2+uKA4iIZYkduev54zQtUqC1MRYb4Cr4tG4xTqMgUDdLhyjukMEQcJKXLgJtHkHs9tZQ==" saltValue="opGVKNgxQ3cvAW1Hu6fdAg==" spinCount="100000" sheet="1" objects="1" scenarios="1"/>
  <pageMargins left="0.74803149606299213" right="0.74803149606299213" top="0.98425196850393704" bottom="0.98425196850393704" header="0.51181102362204722" footer="0.51181102362204722"/>
  <pageSetup paperSize="9" scale="53"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70" min="1" max="1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262"/>
  <sheetViews>
    <sheetView zoomScale="85" zoomScaleNormal="85" workbookViewId="0">
      <selection activeCell="B2" sqref="B2"/>
    </sheetView>
  </sheetViews>
  <sheetFormatPr defaultRowHeight="12.75" x14ac:dyDescent="0.2"/>
  <cols>
    <col min="1" max="1" width="3.7109375" style="658" customWidth="1"/>
    <col min="2" max="2" width="2.7109375" style="658" customWidth="1"/>
    <col min="3" max="9" width="9.7109375" style="658" customWidth="1"/>
    <col min="10" max="10" width="2.7109375" style="658" customWidth="1"/>
    <col min="11" max="17" width="9.7109375" style="658" customWidth="1"/>
    <col min="18" max="18" width="2.7109375" style="658" customWidth="1"/>
    <col min="19" max="16384" width="9.140625" style="658"/>
  </cols>
  <sheetData>
    <row r="1" spans="2:18" ht="12.75" customHeight="1" x14ac:dyDescent="0.2"/>
    <row r="2" spans="2:18" x14ac:dyDescent="0.2">
      <c r="B2" s="659"/>
      <c r="C2" s="660"/>
      <c r="D2" s="660"/>
      <c r="E2" s="660"/>
      <c r="F2" s="660"/>
      <c r="G2" s="660"/>
      <c r="H2" s="660"/>
      <c r="I2" s="660"/>
      <c r="J2" s="660"/>
      <c r="K2" s="660"/>
      <c r="L2" s="660"/>
      <c r="M2" s="660"/>
      <c r="N2" s="660"/>
      <c r="O2" s="660"/>
      <c r="P2" s="660"/>
      <c r="Q2" s="660"/>
      <c r="R2" s="661"/>
    </row>
    <row r="3" spans="2:18" x14ac:dyDescent="0.2">
      <c r="B3" s="662"/>
      <c r="C3" s="663"/>
      <c r="D3" s="663"/>
      <c r="E3" s="663"/>
      <c r="F3" s="663"/>
      <c r="G3" s="663"/>
      <c r="H3" s="663"/>
      <c r="I3" s="663"/>
      <c r="J3" s="663"/>
      <c r="K3" s="663"/>
      <c r="L3" s="663"/>
      <c r="M3" s="663"/>
      <c r="N3" s="663"/>
      <c r="O3" s="663"/>
      <c r="P3" s="663"/>
      <c r="Q3" s="663"/>
      <c r="R3" s="664"/>
    </row>
    <row r="4" spans="2:18" s="668" customFormat="1" ht="18.75" x14ac:dyDescent="0.3">
      <c r="B4" s="665"/>
      <c r="C4" s="1363" t="s">
        <v>447</v>
      </c>
      <c r="D4" s="666"/>
      <c r="E4" s="666"/>
      <c r="F4" s="666"/>
      <c r="G4" s="666"/>
      <c r="H4" s="666"/>
      <c r="I4" s="666"/>
      <c r="J4" s="666"/>
      <c r="K4" s="666"/>
      <c r="L4" s="666"/>
      <c r="M4" s="666"/>
      <c r="N4" s="666"/>
      <c r="O4" s="666"/>
      <c r="P4" s="666"/>
      <c r="Q4" s="666"/>
      <c r="R4" s="667"/>
    </row>
    <row r="5" spans="2:18" s="668" customFormat="1" ht="18.75" x14ac:dyDescent="0.3">
      <c r="B5" s="665"/>
      <c r="C5" s="1363" t="str">
        <f>'geg ll'!C5</f>
        <v>Voorbeeld SWV VO Alkmaar</v>
      </c>
      <c r="D5" s="666"/>
      <c r="E5" s="666"/>
      <c r="F5" s="666"/>
      <c r="G5" s="666"/>
      <c r="H5" s="666"/>
      <c r="I5" s="666"/>
      <c r="J5" s="666"/>
      <c r="K5" s="666"/>
      <c r="L5" s="666"/>
      <c r="M5" s="666"/>
      <c r="N5" s="666"/>
      <c r="O5" s="666"/>
      <c r="P5" s="666"/>
      <c r="Q5" s="666"/>
      <c r="R5" s="667"/>
    </row>
    <row r="6" spans="2:18" x14ac:dyDescent="0.2">
      <c r="B6" s="662"/>
      <c r="C6" s="663"/>
      <c r="D6" s="663"/>
      <c r="E6" s="663"/>
      <c r="F6" s="663"/>
      <c r="G6" s="663"/>
      <c r="H6" s="663"/>
      <c r="I6" s="663"/>
      <c r="J6" s="663"/>
      <c r="K6" s="663"/>
      <c r="L6" s="663"/>
      <c r="M6" s="663"/>
      <c r="N6" s="663"/>
      <c r="O6" s="663"/>
      <c r="P6" s="663"/>
      <c r="Q6" s="663"/>
      <c r="R6" s="664"/>
    </row>
    <row r="7" spans="2:18" x14ac:dyDescent="0.2">
      <c r="B7" s="662"/>
      <c r="C7" s="663"/>
      <c r="D7" s="663"/>
      <c r="E7" s="663"/>
      <c r="F7" s="663"/>
      <c r="G7" s="663"/>
      <c r="H7" s="663"/>
      <c r="I7" s="663"/>
      <c r="J7" s="663"/>
      <c r="K7" s="663"/>
      <c r="L7" s="663"/>
      <c r="M7" s="663"/>
      <c r="N7" s="663"/>
      <c r="O7" s="663"/>
      <c r="P7" s="663"/>
      <c r="Q7" s="663"/>
      <c r="R7" s="664"/>
    </row>
    <row r="8" spans="2:18" x14ac:dyDescent="0.2">
      <c r="B8" s="662"/>
      <c r="C8" s="663"/>
      <c r="D8" s="663"/>
      <c r="E8" s="663"/>
      <c r="F8" s="663"/>
      <c r="G8" s="663"/>
      <c r="H8" s="663"/>
      <c r="I8" s="663"/>
      <c r="J8" s="663"/>
      <c r="K8" s="663"/>
      <c r="L8" s="663"/>
      <c r="M8" s="663"/>
      <c r="N8" s="663"/>
      <c r="O8" s="663"/>
      <c r="P8" s="663"/>
      <c r="Q8" s="663"/>
      <c r="R8" s="664"/>
    </row>
    <row r="9" spans="2:18" x14ac:dyDescent="0.2">
      <c r="B9" s="662"/>
      <c r="C9" s="663"/>
      <c r="D9" s="663"/>
      <c r="E9" s="663"/>
      <c r="F9" s="663"/>
      <c r="G9" s="663"/>
      <c r="H9" s="663"/>
      <c r="I9" s="663"/>
      <c r="J9" s="663"/>
      <c r="K9" s="663"/>
      <c r="L9" s="663"/>
      <c r="M9" s="663"/>
      <c r="N9" s="663"/>
      <c r="O9" s="663"/>
      <c r="P9" s="663"/>
      <c r="Q9" s="663"/>
      <c r="R9" s="664"/>
    </row>
    <row r="10" spans="2:18" x14ac:dyDescent="0.2">
      <c r="B10" s="662"/>
      <c r="C10" s="663"/>
      <c r="D10" s="663"/>
      <c r="E10" s="663"/>
      <c r="F10" s="663"/>
      <c r="G10" s="663"/>
      <c r="H10" s="663"/>
      <c r="I10" s="663"/>
      <c r="J10" s="663"/>
      <c r="K10" s="663"/>
      <c r="L10" s="663"/>
      <c r="M10" s="663"/>
      <c r="N10" s="663"/>
      <c r="O10" s="663"/>
      <c r="P10" s="663"/>
      <c r="Q10" s="663"/>
      <c r="R10" s="664"/>
    </row>
    <row r="11" spans="2:18" x14ac:dyDescent="0.2">
      <c r="B11" s="662"/>
      <c r="C11" s="663"/>
      <c r="D11" s="663"/>
      <c r="E11" s="663"/>
      <c r="F11" s="663"/>
      <c r="G11" s="663"/>
      <c r="H11" s="663"/>
      <c r="I11" s="663"/>
      <c r="J11" s="663"/>
      <c r="K11" s="663"/>
      <c r="L11" s="663"/>
      <c r="M11" s="663"/>
      <c r="N11" s="663"/>
      <c r="O11" s="663"/>
      <c r="P11" s="663"/>
      <c r="Q11" s="663"/>
      <c r="R11" s="664"/>
    </row>
    <row r="12" spans="2:18" x14ac:dyDescent="0.2">
      <c r="B12" s="662"/>
      <c r="C12" s="663"/>
      <c r="D12" s="663"/>
      <c r="E12" s="663"/>
      <c r="F12" s="663"/>
      <c r="G12" s="663"/>
      <c r="H12" s="663"/>
      <c r="I12" s="663"/>
      <c r="J12" s="663"/>
      <c r="K12" s="663"/>
      <c r="L12" s="663"/>
      <c r="M12" s="663"/>
      <c r="N12" s="663"/>
      <c r="O12" s="663"/>
      <c r="P12" s="663"/>
      <c r="Q12" s="663"/>
      <c r="R12" s="664"/>
    </row>
    <row r="13" spans="2:18" x14ac:dyDescent="0.2">
      <c r="B13" s="662"/>
      <c r="C13" s="663"/>
      <c r="D13" s="663"/>
      <c r="E13" s="663"/>
      <c r="F13" s="663"/>
      <c r="G13" s="663"/>
      <c r="H13" s="663"/>
      <c r="I13" s="663"/>
      <c r="J13" s="663"/>
      <c r="K13" s="663"/>
      <c r="L13" s="663"/>
      <c r="M13" s="663"/>
      <c r="N13" s="663"/>
      <c r="O13" s="663"/>
      <c r="P13" s="663"/>
      <c r="Q13" s="663"/>
      <c r="R13" s="664"/>
    </row>
    <row r="14" spans="2:18" x14ac:dyDescent="0.2">
      <c r="B14" s="662"/>
      <c r="C14" s="663"/>
      <c r="D14" s="663"/>
      <c r="E14" s="663"/>
      <c r="F14" s="663"/>
      <c r="G14" s="663"/>
      <c r="H14" s="663"/>
      <c r="I14" s="663"/>
      <c r="J14" s="663"/>
      <c r="K14" s="663"/>
      <c r="L14" s="663"/>
      <c r="M14" s="663"/>
      <c r="N14" s="663"/>
      <c r="O14" s="663"/>
      <c r="P14" s="663"/>
      <c r="Q14" s="663"/>
      <c r="R14" s="664"/>
    </row>
    <row r="15" spans="2:18" x14ac:dyDescent="0.2">
      <c r="B15" s="662"/>
      <c r="C15" s="663"/>
      <c r="D15" s="663"/>
      <c r="E15" s="663"/>
      <c r="F15" s="663"/>
      <c r="G15" s="663"/>
      <c r="H15" s="663"/>
      <c r="I15" s="663"/>
      <c r="J15" s="663"/>
      <c r="K15" s="663"/>
      <c r="L15" s="663"/>
      <c r="M15" s="663"/>
      <c r="N15" s="663"/>
      <c r="O15" s="663"/>
      <c r="P15" s="663"/>
      <c r="Q15" s="663"/>
      <c r="R15" s="664"/>
    </row>
    <row r="16" spans="2:18" x14ac:dyDescent="0.2">
      <c r="B16" s="662"/>
      <c r="C16" s="663"/>
      <c r="D16" s="663"/>
      <c r="E16" s="663"/>
      <c r="F16" s="663"/>
      <c r="G16" s="663"/>
      <c r="H16" s="663"/>
      <c r="I16" s="663"/>
      <c r="J16" s="663"/>
      <c r="K16" s="663"/>
      <c r="L16" s="663"/>
      <c r="M16" s="663"/>
      <c r="N16" s="663"/>
      <c r="O16" s="663"/>
      <c r="P16" s="663"/>
      <c r="Q16" s="663"/>
      <c r="R16" s="664"/>
    </row>
    <row r="17" spans="2:18" x14ac:dyDescent="0.2">
      <c r="B17" s="662"/>
      <c r="C17" s="663"/>
      <c r="D17" s="663"/>
      <c r="E17" s="663"/>
      <c r="F17" s="663"/>
      <c r="G17" s="663"/>
      <c r="H17" s="663"/>
      <c r="I17" s="663"/>
      <c r="J17" s="663"/>
      <c r="K17" s="663"/>
      <c r="L17" s="663"/>
      <c r="M17" s="663"/>
      <c r="N17" s="663"/>
      <c r="O17" s="663"/>
      <c r="P17" s="663"/>
      <c r="Q17" s="663"/>
      <c r="R17" s="664"/>
    </row>
    <row r="18" spans="2:18" x14ac:dyDescent="0.2">
      <c r="B18" s="662"/>
      <c r="C18" s="663"/>
      <c r="D18" s="663"/>
      <c r="E18" s="663"/>
      <c r="F18" s="663"/>
      <c r="G18" s="663"/>
      <c r="H18" s="663"/>
      <c r="I18" s="663"/>
      <c r="J18" s="663"/>
      <c r="K18" s="663"/>
      <c r="L18" s="663"/>
      <c r="M18" s="663"/>
      <c r="N18" s="663"/>
      <c r="O18" s="663"/>
      <c r="P18" s="663"/>
      <c r="Q18" s="663"/>
      <c r="R18" s="664"/>
    </row>
    <row r="19" spans="2:18" x14ac:dyDescent="0.2">
      <c r="B19" s="662"/>
      <c r="C19" s="663"/>
      <c r="D19" s="663"/>
      <c r="E19" s="663"/>
      <c r="F19" s="663"/>
      <c r="G19" s="663"/>
      <c r="H19" s="663"/>
      <c r="I19" s="663"/>
      <c r="J19" s="663"/>
      <c r="K19" s="663"/>
      <c r="L19" s="663"/>
      <c r="M19" s="663"/>
      <c r="N19" s="663"/>
      <c r="O19" s="663"/>
      <c r="P19" s="663"/>
      <c r="Q19" s="663"/>
      <c r="R19" s="664"/>
    </row>
    <row r="20" spans="2:18" x14ac:dyDescent="0.2">
      <c r="B20" s="662"/>
      <c r="C20" s="663"/>
      <c r="D20" s="663"/>
      <c r="E20" s="663"/>
      <c r="F20" s="663"/>
      <c r="G20" s="663"/>
      <c r="H20" s="663"/>
      <c r="I20" s="663"/>
      <c r="J20" s="663"/>
      <c r="K20" s="663"/>
      <c r="L20" s="663"/>
      <c r="M20" s="663"/>
      <c r="N20" s="663"/>
      <c r="O20" s="663"/>
      <c r="P20" s="663"/>
      <c r="Q20" s="663"/>
      <c r="R20" s="664"/>
    </row>
    <row r="21" spans="2:18" x14ac:dyDescent="0.2">
      <c r="B21" s="662"/>
      <c r="C21" s="663"/>
      <c r="D21" s="663"/>
      <c r="E21" s="663"/>
      <c r="F21" s="663"/>
      <c r="G21" s="663"/>
      <c r="H21" s="663"/>
      <c r="I21" s="663"/>
      <c r="J21" s="663"/>
      <c r="K21" s="663"/>
      <c r="L21" s="663"/>
      <c r="M21" s="663"/>
      <c r="N21" s="663"/>
      <c r="O21" s="663"/>
      <c r="P21" s="663"/>
      <c r="Q21" s="663"/>
      <c r="R21" s="664"/>
    </row>
    <row r="22" spans="2:18" x14ac:dyDescent="0.2">
      <c r="B22" s="662"/>
      <c r="C22" s="663"/>
      <c r="D22" s="663"/>
      <c r="E22" s="663"/>
      <c r="F22" s="663"/>
      <c r="G22" s="663"/>
      <c r="H22" s="663"/>
      <c r="I22" s="663"/>
      <c r="J22" s="663"/>
      <c r="K22" s="663"/>
      <c r="L22" s="663"/>
      <c r="M22" s="663"/>
      <c r="N22" s="663"/>
      <c r="O22" s="663"/>
      <c r="P22" s="663"/>
      <c r="Q22" s="663"/>
      <c r="R22" s="664"/>
    </row>
    <row r="23" spans="2:18" x14ac:dyDescent="0.2">
      <c r="B23" s="662"/>
      <c r="C23" s="663"/>
      <c r="D23" s="663"/>
      <c r="E23" s="663"/>
      <c r="F23" s="663"/>
      <c r="G23" s="663"/>
      <c r="H23" s="663"/>
      <c r="I23" s="663"/>
      <c r="J23" s="663"/>
      <c r="K23" s="663"/>
      <c r="L23" s="663"/>
      <c r="M23" s="663"/>
      <c r="N23" s="663"/>
      <c r="O23" s="663"/>
      <c r="P23" s="663"/>
      <c r="Q23" s="663"/>
      <c r="R23" s="664"/>
    </row>
    <row r="24" spans="2:18" x14ac:dyDescent="0.2">
      <c r="B24" s="662"/>
      <c r="C24" s="663"/>
      <c r="D24" s="663"/>
      <c r="E24" s="663"/>
      <c r="F24" s="663"/>
      <c r="G24" s="663"/>
      <c r="H24" s="663"/>
      <c r="I24" s="663"/>
      <c r="J24" s="663"/>
      <c r="K24" s="663"/>
      <c r="L24" s="663"/>
      <c r="M24" s="663"/>
      <c r="N24" s="663"/>
      <c r="O24" s="663"/>
      <c r="P24" s="663"/>
      <c r="Q24" s="663"/>
      <c r="R24" s="664"/>
    </row>
    <row r="25" spans="2:18" x14ac:dyDescent="0.2">
      <c r="B25" s="662"/>
      <c r="C25" s="663"/>
      <c r="D25" s="663"/>
      <c r="E25" s="663"/>
      <c r="F25" s="663"/>
      <c r="G25" s="663"/>
      <c r="H25" s="663"/>
      <c r="I25" s="663"/>
      <c r="J25" s="663"/>
      <c r="K25" s="663"/>
      <c r="L25" s="663"/>
      <c r="M25" s="663"/>
      <c r="N25" s="663"/>
      <c r="O25" s="663"/>
      <c r="P25" s="663"/>
      <c r="Q25" s="663"/>
      <c r="R25" s="664"/>
    </row>
    <row r="26" spans="2:18" x14ac:dyDescent="0.2">
      <c r="B26" s="662"/>
      <c r="C26" s="663"/>
      <c r="D26" s="663"/>
      <c r="E26" s="663"/>
      <c r="F26" s="663"/>
      <c r="G26" s="663"/>
      <c r="H26" s="663"/>
      <c r="I26" s="663"/>
      <c r="J26" s="663"/>
      <c r="K26" s="663"/>
      <c r="L26" s="663"/>
      <c r="M26" s="663"/>
      <c r="N26" s="663"/>
      <c r="O26" s="663"/>
      <c r="P26" s="663"/>
      <c r="Q26" s="663"/>
      <c r="R26" s="664"/>
    </row>
    <row r="27" spans="2:18" x14ac:dyDescent="0.2">
      <c r="B27" s="662"/>
      <c r="C27" s="663"/>
      <c r="D27" s="663"/>
      <c r="E27" s="663"/>
      <c r="F27" s="663"/>
      <c r="G27" s="663"/>
      <c r="H27" s="663"/>
      <c r="I27" s="663"/>
      <c r="J27" s="663"/>
      <c r="K27" s="663"/>
      <c r="L27" s="663"/>
      <c r="M27" s="663"/>
      <c r="N27" s="663"/>
      <c r="O27" s="663"/>
      <c r="P27" s="663"/>
      <c r="Q27" s="663"/>
      <c r="R27" s="664"/>
    </row>
    <row r="28" spans="2:18" x14ac:dyDescent="0.2">
      <c r="B28" s="662"/>
      <c r="C28" s="663"/>
      <c r="D28" s="663"/>
      <c r="E28" s="663"/>
      <c r="F28" s="663"/>
      <c r="G28" s="663"/>
      <c r="H28" s="663"/>
      <c r="I28" s="663"/>
      <c r="J28" s="663"/>
      <c r="K28" s="663"/>
      <c r="L28" s="663"/>
      <c r="M28" s="663"/>
      <c r="N28" s="663"/>
      <c r="O28" s="663"/>
      <c r="P28" s="663"/>
      <c r="Q28" s="663"/>
      <c r="R28" s="664"/>
    </row>
    <row r="29" spans="2:18" x14ac:dyDescent="0.2">
      <c r="B29" s="662"/>
      <c r="C29" s="663"/>
      <c r="D29" s="663"/>
      <c r="E29" s="663"/>
      <c r="F29" s="663"/>
      <c r="G29" s="663"/>
      <c r="H29" s="663"/>
      <c r="I29" s="663"/>
      <c r="J29" s="663"/>
      <c r="K29" s="663"/>
      <c r="L29" s="663"/>
      <c r="M29" s="663"/>
      <c r="N29" s="663"/>
      <c r="O29" s="663"/>
      <c r="P29" s="663"/>
      <c r="Q29" s="663"/>
      <c r="R29" s="664"/>
    </row>
    <row r="30" spans="2:18" x14ac:dyDescent="0.2">
      <c r="B30" s="662"/>
      <c r="C30" s="663"/>
      <c r="D30" s="663"/>
      <c r="E30" s="663"/>
      <c r="F30" s="663"/>
      <c r="G30" s="663"/>
      <c r="H30" s="663"/>
      <c r="I30" s="663"/>
      <c r="J30" s="663"/>
      <c r="K30" s="663"/>
      <c r="L30" s="663"/>
      <c r="M30" s="663"/>
      <c r="N30" s="663"/>
      <c r="O30" s="663"/>
      <c r="P30" s="663"/>
      <c r="Q30" s="663"/>
      <c r="R30" s="664"/>
    </row>
    <row r="31" spans="2:18" x14ac:dyDescent="0.2">
      <c r="B31" s="662"/>
      <c r="C31" s="663"/>
      <c r="D31" s="663"/>
      <c r="E31" s="663"/>
      <c r="F31" s="663"/>
      <c r="G31" s="663"/>
      <c r="H31" s="663"/>
      <c r="I31" s="663"/>
      <c r="J31" s="663"/>
      <c r="K31" s="663"/>
      <c r="L31" s="663"/>
      <c r="M31" s="663"/>
      <c r="N31" s="663"/>
      <c r="O31" s="663"/>
      <c r="P31" s="663"/>
      <c r="Q31" s="663"/>
      <c r="R31" s="664"/>
    </row>
    <row r="32" spans="2:18" x14ac:dyDescent="0.2">
      <c r="B32" s="662"/>
      <c r="C32" s="663"/>
      <c r="D32" s="663"/>
      <c r="E32" s="663"/>
      <c r="F32" s="663"/>
      <c r="G32" s="663"/>
      <c r="H32" s="663"/>
      <c r="I32" s="663"/>
      <c r="J32" s="663"/>
      <c r="K32" s="663"/>
      <c r="L32" s="663"/>
      <c r="M32" s="663"/>
      <c r="N32" s="663"/>
      <c r="O32" s="663"/>
      <c r="P32" s="663"/>
      <c r="Q32" s="663"/>
      <c r="R32" s="664"/>
    </row>
    <row r="33" spans="2:18" x14ac:dyDescent="0.2">
      <c r="B33" s="662"/>
      <c r="C33" s="663"/>
      <c r="D33" s="663"/>
      <c r="E33" s="663"/>
      <c r="F33" s="663"/>
      <c r="G33" s="663"/>
      <c r="H33" s="663"/>
      <c r="I33" s="663"/>
      <c r="J33" s="663"/>
      <c r="K33" s="663"/>
      <c r="L33" s="663"/>
      <c r="M33" s="663"/>
      <c r="N33" s="663"/>
      <c r="O33" s="663"/>
      <c r="P33" s="663"/>
      <c r="Q33" s="663"/>
      <c r="R33" s="664"/>
    </row>
    <row r="34" spans="2:18" x14ac:dyDescent="0.2">
      <c r="B34" s="662"/>
      <c r="C34" s="663"/>
      <c r="D34" s="663"/>
      <c r="E34" s="663"/>
      <c r="F34" s="663"/>
      <c r="G34" s="663"/>
      <c r="H34" s="663"/>
      <c r="I34" s="663"/>
      <c r="J34" s="663"/>
      <c r="K34" s="663"/>
      <c r="L34" s="663"/>
      <c r="M34" s="663"/>
      <c r="N34" s="663"/>
      <c r="O34" s="663"/>
      <c r="P34" s="663"/>
      <c r="Q34" s="663"/>
      <c r="R34" s="664"/>
    </row>
    <row r="35" spans="2:18" x14ac:dyDescent="0.2">
      <c r="B35" s="662"/>
      <c r="C35" s="663"/>
      <c r="D35" s="663"/>
      <c r="E35" s="663"/>
      <c r="F35" s="663"/>
      <c r="G35" s="663"/>
      <c r="H35" s="663"/>
      <c r="I35" s="663"/>
      <c r="J35" s="663"/>
      <c r="K35" s="663"/>
      <c r="L35" s="663"/>
      <c r="M35" s="663"/>
      <c r="N35" s="663"/>
      <c r="O35" s="663"/>
      <c r="P35" s="663"/>
      <c r="Q35" s="663"/>
      <c r="R35" s="664"/>
    </row>
    <row r="36" spans="2:18" x14ac:dyDescent="0.2">
      <c r="B36" s="662"/>
      <c r="C36" s="663"/>
      <c r="D36" s="663"/>
      <c r="E36" s="663"/>
      <c r="F36" s="663"/>
      <c r="G36" s="663"/>
      <c r="H36" s="663"/>
      <c r="I36" s="663"/>
      <c r="J36" s="663"/>
      <c r="K36" s="663"/>
      <c r="L36" s="663"/>
      <c r="M36" s="663"/>
      <c r="N36" s="663"/>
      <c r="O36" s="663"/>
      <c r="P36" s="663"/>
      <c r="Q36" s="663"/>
      <c r="R36" s="664"/>
    </row>
    <row r="37" spans="2:18" x14ac:dyDescent="0.2">
      <c r="B37" s="662"/>
      <c r="C37" s="663"/>
      <c r="D37" s="663"/>
      <c r="E37" s="663"/>
      <c r="F37" s="663"/>
      <c r="G37" s="663"/>
      <c r="H37" s="663"/>
      <c r="I37" s="663"/>
      <c r="J37" s="663"/>
      <c r="K37" s="663"/>
      <c r="L37" s="663"/>
      <c r="M37" s="663"/>
      <c r="N37" s="663"/>
      <c r="O37" s="663"/>
      <c r="P37" s="663"/>
      <c r="Q37" s="663"/>
      <c r="R37" s="664"/>
    </row>
    <row r="38" spans="2:18" x14ac:dyDescent="0.2">
      <c r="B38" s="662"/>
      <c r="C38" s="663"/>
      <c r="D38" s="663"/>
      <c r="E38" s="663"/>
      <c r="F38" s="663"/>
      <c r="G38" s="663"/>
      <c r="H38" s="663"/>
      <c r="I38" s="663"/>
      <c r="J38" s="663"/>
      <c r="K38" s="663"/>
      <c r="L38" s="663"/>
      <c r="M38" s="663"/>
      <c r="N38" s="663"/>
      <c r="O38" s="663"/>
      <c r="P38" s="663"/>
      <c r="Q38" s="663"/>
      <c r="R38" s="664"/>
    </row>
    <row r="39" spans="2:18" x14ac:dyDescent="0.2">
      <c r="B39" s="662"/>
      <c r="C39" s="663"/>
      <c r="D39" s="663"/>
      <c r="E39" s="663"/>
      <c r="F39" s="663"/>
      <c r="G39" s="663"/>
      <c r="H39" s="663"/>
      <c r="I39" s="663"/>
      <c r="J39" s="663"/>
      <c r="K39" s="663"/>
      <c r="L39" s="663"/>
      <c r="M39" s="663"/>
      <c r="N39" s="663"/>
      <c r="O39" s="663"/>
      <c r="P39" s="663"/>
      <c r="Q39" s="663"/>
      <c r="R39" s="664"/>
    </row>
    <row r="40" spans="2:18" x14ac:dyDescent="0.2">
      <c r="B40" s="662"/>
      <c r="C40" s="663"/>
      <c r="D40" s="663"/>
      <c r="E40" s="663"/>
      <c r="F40" s="663"/>
      <c r="G40" s="663"/>
      <c r="H40" s="663"/>
      <c r="I40" s="663"/>
      <c r="J40" s="663"/>
      <c r="K40" s="663"/>
      <c r="L40" s="663"/>
      <c r="M40" s="663"/>
      <c r="N40" s="663"/>
      <c r="O40" s="663"/>
      <c r="P40" s="663"/>
      <c r="Q40" s="663"/>
      <c r="R40" s="664"/>
    </row>
    <row r="41" spans="2:18" x14ac:dyDescent="0.2">
      <c r="B41" s="662"/>
      <c r="C41" s="663"/>
      <c r="D41" s="663"/>
      <c r="E41" s="663"/>
      <c r="F41" s="663"/>
      <c r="G41" s="663"/>
      <c r="H41" s="663"/>
      <c r="I41" s="663"/>
      <c r="J41" s="663"/>
      <c r="K41" s="663"/>
      <c r="L41" s="663"/>
      <c r="M41" s="663"/>
      <c r="N41" s="663"/>
      <c r="O41" s="663"/>
      <c r="P41" s="663"/>
      <c r="Q41" s="663"/>
      <c r="R41" s="664"/>
    </row>
    <row r="42" spans="2:18" x14ac:dyDescent="0.2">
      <c r="B42" s="662"/>
      <c r="C42" s="663"/>
      <c r="D42" s="663"/>
      <c r="E42" s="663"/>
      <c r="F42" s="663"/>
      <c r="G42" s="663"/>
      <c r="H42" s="663"/>
      <c r="I42" s="663"/>
      <c r="J42" s="663"/>
      <c r="K42" s="663"/>
      <c r="L42" s="663"/>
      <c r="M42" s="663"/>
      <c r="N42" s="663"/>
      <c r="O42" s="663"/>
      <c r="P42" s="663"/>
      <c r="Q42" s="663"/>
      <c r="R42" s="664"/>
    </row>
    <row r="43" spans="2:18" x14ac:dyDescent="0.2">
      <c r="B43" s="662"/>
      <c r="C43" s="663"/>
      <c r="D43" s="663"/>
      <c r="E43" s="663"/>
      <c r="F43" s="663"/>
      <c r="G43" s="663"/>
      <c r="H43" s="663"/>
      <c r="I43" s="663"/>
      <c r="J43" s="663"/>
      <c r="K43" s="663"/>
      <c r="L43" s="663"/>
      <c r="M43" s="663"/>
      <c r="N43" s="663"/>
      <c r="O43" s="663"/>
      <c r="P43" s="663"/>
      <c r="Q43" s="663"/>
      <c r="R43" s="664"/>
    </row>
    <row r="44" spans="2:18" x14ac:dyDescent="0.2">
      <c r="B44" s="662"/>
      <c r="C44" s="663"/>
      <c r="D44" s="663"/>
      <c r="E44" s="663"/>
      <c r="F44" s="663"/>
      <c r="G44" s="663"/>
      <c r="H44" s="663"/>
      <c r="I44" s="663"/>
      <c r="J44" s="663"/>
      <c r="K44" s="663"/>
      <c r="L44" s="663"/>
      <c r="M44" s="663"/>
      <c r="N44" s="663"/>
      <c r="O44" s="663"/>
      <c r="P44" s="663"/>
      <c r="Q44" s="663"/>
      <c r="R44" s="664"/>
    </row>
    <row r="45" spans="2:18" x14ac:dyDescent="0.2">
      <c r="B45" s="662"/>
      <c r="C45" s="663"/>
      <c r="D45" s="663"/>
      <c r="E45" s="663"/>
      <c r="F45" s="663"/>
      <c r="G45" s="663"/>
      <c r="H45" s="663"/>
      <c r="I45" s="663"/>
      <c r="J45" s="663"/>
      <c r="K45" s="663"/>
      <c r="L45" s="663"/>
      <c r="M45" s="663"/>
      <c r="N45" s="663"/>
      <c r="O45" s="663"/>
      <c r="P45" s="663"/>
      <c r="Q45" s="663"/>
      <c r="R45" s="664"/>
    </row>
    <row r="46" spans="2:18" x14ac:dyDescent="0.2">
      <c r="B46" s="662"/>
      <c r="C46" s="663"/>
      <c r="D46" s="663"/>
      <c r="E46" s="663"/>
      <c r="F46" s="663"/>
      <c r="G46" s="663"/>
      <c r="H46" s="663"/>
      <c r="I46" s="663"/>
      <c r="J46" s="663"/>
      <c r="K46" s="663"/>
      <c r="L46" s="663"/>
      <c r="M46" s="663"/>
      <c r="N46" s="663"/>
      <c r="O46" s="663"/>
      <c r="P46" s="663"/>
      <c r="Q46" s="663"/>
      <c r="R46" s="664"/>
    </row>
    <row r="47" spans="2:18" x14ac:dyDescent="0.2">
      <c r="B47" s="662"/>
      <c r="C47" s="663"/>
      <c r="D47" s="663"/>
      <c r="E47" s="663"/>
      <c r="F47" s="663"/>
      <c r="G47" s="663"/>
      <c r="H47" s="663"/>
      <c r="I47" s="663"/>
      <c r="J47" s="663"/>
      <c r="K47" s="663"/>
      <c r="L47" s="663"/>
      <c r="M47" s="663"/>
      <c r="N47" s="663"/>
      <c r="O47" s="663"/>
      <c r="P47" s="663"/>
      <c r="Q47" s="663"/>
      <c r="R47" s="664"/>
    </row>
    <row r="48" spans="2:18" x14ac:dyDescent="0.2">
      <c r="B48" s="662"/>
      <c r="C48" s="663"/>
      <c r="D48" s="663"/>
      <c r="E48" s="663"/>
      <c r="F48" s="663"/>
      <c r="G48" s="663"/>
      <c r="H48" s="663"/>
      <c r="I48" s="663"/>
      <c r="J48" s="663"/>
      <c r="K48" s="663"/>
      <c r="L48" s="663"/>
      <c r="M48" s="663"/>
      <c r="N48" s="663"/>
      <c r="O48" s="663"/>
      <c r="P48" s="663"/>
      <c r="Q48" s="663"/>
      <c r="R48" s="664"/>
    </row>
    <row r="49" spans="2:18" x14ac:dyDescent="0.2">
      <c r="B49" s="662"/>
      <c r="C49" s="663"/>
      <c r="D49" s="663"/>
      <c r="E49" s="663"/>
      <c r="F49" s="663"/>
      <c r="G49" s="663"/>
      <c r="H49" s="663"/>
      <c r="I49" s="663"/>
      <c r="J49" s="663"/>
      <c r="K49" s="663"/>
      <c r="L49" s="663"/>
      <c r="M49" s="663"/>
      <c r="N49" s="663"/>
      <c r="O49" s="663"/>
      <c r="P49" s="663"/>
      <c r="Q49" s="663"/>
      <c r="R49" s="664"/>
    </row>
    <row r="50" spans="2:18" x14ac:dyDescent="0.2">
      <c r="B50" s="662"/>
      <c r="C50" s="663"/>
      <c r="D50" s="663"/>
      <c r="E50" s="663"/>
      <c r="F50" s="663"/>
      <c r="G50" s="663"/>
      <c r="H50" s="663"/>
      <c r="I50" s="663"/>
      <c r="J50" s="663"/>
      <c r="K50" s="663"/>
      <c r="L50" s="663"/>
      <c r="M50" s="663"/>
      <c r="N50" s="663"/>
      <c r="O50" s="663"/>
      <c r="P50" s="663"/>
      <c r="Q50" s="663"/>
      <c r="R50" s="664"/>
    </row>
    <row r="51" spans="2:18" x14ac:dyDescent="0.2">
      <c r="B51" s="662"/>
      <c r="C51" s="663"/>
      <c r="D51" s="663"/>
      <c r="E51" s="663"/>
      <c r="F51" s="663"/>
      <c r="G51" s="663"/>
      <c r="H51" s="663"/>
      <c r="I51" s="663"/>
      <c r="J51" s="663"/>
      <c r="K51" s="663"/>
      <c r="L51" s="663"/>
      <c r="M51" s="663"/>
      <c r="N51" s="663"/>
      <c r="O51" s="663"/>
      <c r="P51" s="663"/>
      <c r="Q51" s="663"/>
      <c r="R51" s="664"/>
    </row>
    <row r="52" spans="2:18" x14ac:dyDescent="0.2">
      <c r="B52" s="662"/>
      <c r="C52" s="663"/>
      <c r="D52" s="663"/>
      <c r="E52" s="663"/>
      <c r="F52" s="663"/>
      <c r="G52" s="663"/>
      <c r="H52" s="663"/>
      <c r="I52" s="663"/>
      <c r="J52" s="663"/>
      <c r="K52" s="663"/>
      <c r="L52" s="663"/>
      <c r="M52" s="663"/>
      <c r="N52" s="663"/>
      <c r="O52" s="663"/>
      <c r="P52" s="663"/>
      <c r="Q52" s="663"/>
      <c r="R52" s="664"/>
    </row>
    <row r="53" spans="2:18" x14ac:dyDescent="0.2">
      <c r="B53" s="662"/>
      <c r="C53" s="663"/>
      <c r="D53" s="663"/>
      <c r="E53" s="663"/>
      <c r="F53" s="663"/>
      <c r="G53" s="663"/>
      <c r="H53" s="663"/>
      <c r="I53" s="663"/>
      <c r="J53" s="663"/>
      <c r="K53" s="663"/>
      <c r="L53" s="663"/>
      <c r="M53" s="663"/>
      <c r="N53" s="663"/>
      <c r="O53" s="663"/>
      <c r="P53" s="663"/>
      <c r="Q53" s="663"/>
      <c r="R53" s="664"/>
    </row>
    <row r="54" spans="2:18" x14ac:dyDescent="0.2">
      <c r="B54" s="662"/>
      <c r="C54" s="663"/>
      <c r="D54" s="663"/>
      <c r="E54" s="663"/>
      <c r="F54" s="663"/>
      <c r="G54" s="663"/>
      <c r="H54" s="663"/>
      <c r="I54" s="663"/>
      <c r="J54" s="663"/>
      <c r="K54" s="663"/>
      <c r="L54" s="663"/>
      <c r="M54" s="663"/>
      <c r="N54" s="663"/>
      <c r="O54" s="663"/>
      <c r="P54" s="663"/>
      <c r="Q54" s="663"/>
      <c r="R54" s="664"/>
    </row>
    <row r="55" spans="2:18" x14ac:dyDescent="0.2">
      <c r="B55" s="662"/>
      <c r="C55" s="663"/>
      <c r="D55" s="663"/>
      <c r="E55" s="663"/>
      <c r="F55" s="663"/>
      <c r="G55" s="663"/>
      <c r="H55" s="663"/>
      <c r="I55" s="663"/>
      <c r="J55" s="663"/>
      <c r="K55" s="663"/>
      <c r="L55" s="663"/>
      <c r="M55" s="663"/>
      <c r="N55" s="663"/>
      <c r="O55" s="663"/>
      <c r="P55" s="663"/>
      <c r="Q55" s="663"/>
      <c r="R55" s="664"/>
    </row>
    <row r="56" spans="2:18" x14ac:dyDescent="0.2">
      <c r="B56" s="662"/>
      <c r="C56" s="663"/>
      <c r="D56" s="663"/>
      <c r="E56" s="663"/>
      <c r="F56" s="663"/>
      <c r="G56" s="663"/>
      <c r="H56" s="663"/>
      <c r="I56" s="663"/>
      <c r="J56" s="663"/>
      <c r="K56" s="663"/>
      <c r="L56" s="663"/>
      <c r="M56" s="663"/>
      <c r="N56" s="663"/>
      <c r="O56" s="663"/>
      <c r="P56" s="663"/>
      <c r="Q56" s="663"/>
      <c r="R56" s="664"/>
    </row>
    <row r="57" spans="2:18" x14ac:dyDescent="0.2">
      <c r="B57" s="662"/>
      <c r="C57" s="663"/>
      <c r="D57" s="663"/>
      <c r="E57" s="663"/>
      <c r="F57" s="663"/>
      <c r="G57" s="663"/>
      <c r="H57" s="663"/>
      <c r="I57" s="663"/>
      <c r="J57" s="663"/>
      <c r="K57" s="663"/>
      <c r="L57" s="663"/>
      <c r="M57" s="663"/>
      <c r="N57" s="663"/>
      <c r="O57" s="663"/>
      <c r="P57" s="663"/>
      <c r="Q57" s="663"/>
      <c r="R57" s="664"/>
    </row>
    <row r="58" spans="2:18" x14ac:dyDescent="0.2">
      <c r="B58" s="662"/>
      <c r="C58" s="663"/>
      <c r="D58" s="663"/>
      <c r="E58" s="663"/>
      <c r="F58" s="663"/>
      <c r="G58" s="663"/>
      <c r="H58" s="663"/>
      <c r="I58" s="663"/>
      <c r="J58" s="663"/>
      <c r="K58" s="663"/>
      <c r="L58" s="663"/>
      <c r="M58" s="663"/>
      <c r="N58" s="663"/>
      <c r="O58" s="663"/>
      <c r="P58" s="663"/>
      <c r="Q58" s="663"/>
      <c r="R58" s="664"/>
    </row>
    <row r="59" spans="2:18" x14ac:dyDescent="0.2">
      <c r="B59" s="662"/>
      <c r="C59" s="663"/>
      <c r="D59" s="663"/>
      <c r="E59" s="663"/>
      <c r="F59" s="663"/>
      <c r="G59" s="663"/>
      <c r="H59" s="663"/>
      <c r="I59" s="663"/>
      <c r="J59" s="663"/>
      <c r="K59" s="663"/>
      <c r="L59" s="663"/>
      <c r="M59" s="663"/>
      <c r="N59" s="663"/>
      <c r="O59" s="663"/>
      <c r="P59" s="663"/>
      <c r="Q59" s="663"/>
      <c r="R59" s="664"/>
    </row>
    <row r="60" spans="2:18" x14ac:dyDescent="0.2">
      <c r="B60" s="662"/>
      <c r="C60" s="663"/>
      <c r="D60" s="663"/>
      <c r="E60" s="663"/>
      <c r="F60" s="663"/>
      <c r="G60" s="663"/>
      <c r="H60" s="663"/>
      <c r="I60" s="663"/>
      <c r="J60" s="663"/>
      <c r="K60" s="663"/>
      <c r="L60" s="663"/>
      <c r="M60" s="663"/>
      <c r="N60" s="663"/>
      <c r="O60" s="663"/>
      <c r="P60" s="663"/>
      <c r="Q60" s="663"/>
      <c r="R60" s="664"/>
    </row>
    <row r="61" spans="2:18" x14ac:dyDescent="0.2">
      <c r="B61" s="662"/>
      <c r="C61" s="663"/>
      <c r="D61" s="663"/>
      <c r="E61" s="663"/>
      <c r="F61" s="663"/>
      <c r="G61" s="663"/>
      <c r="H61" s="663"/>
      <c r="I61" s="663"/>
      <c r="J61" s="663"/>
      <c r="K61" s="663"/>
      <c r="L61" s="663"/>
      <c r="M61" s="663"/>
      <c r="N61" s="663"/>
      <c r="O61" s="663"/>
      <c r="P61" s="663"/>
      <c r="Q61" s="663"/>
      <c r="R61" s="664"/>
    </row>
    <row r="62" spans="2:18" x14ac:dyDescent="0.2">
      <c r="B62" s="662"/>
      <c r="C62" s="663"/>
      <c r="D62" s="663"/>
      <c r="E62" s="663"/>
      <c r="F62" s="663"/>
      <c r="G62" s="663"/>
      <c r="H62" s="663"/>
      <c r="I62" s="663"/>
      <c r="J62" s="663"/>
      <c r="K62" s="663"/>
      <c r="L62" s="663"/>
      <c r="M62" s="663"/>
      <c r="N62" s="663"/>
      <c r="O62" s="663"/>
      <c r="P62" s="663"/>
      <c r="Q62" s="663"/>
      <c r="R62" s="664"/>
    </row>
    <row r="63" spans="2:18" x14ac:dyDescent="0.2">
      <c r="B63" s="662"/>
      <c r="C63" s="663"/>
      <c r="D63" s="663"/>
      <c r="E63" s="663"/>
      <c r="F63" s="663"/>
      <c r="G63" s="663"/>
      <c r="H63" s="663"/>
      <c r="I63" s="663"/>
      <c r="J63" s="663"/>
      <c r="K63" s="663"/>
      <c r="L63" s="663"/>
      <c r="M63" s="663"/>
      <c r="N63" s="663"/>
      <c r="O63" s="663"/>
      <c r="P63" s="663"/>
      <c r="Q63" s="663"/>
      <c r="R63" s="664"/>
    </row>
    <row r="64" spans="2:18" x14ac:dyDescent="0.2">
      <c r="B64" s="662"/>
      <c r="C64" s="663"/>
      <c r="D64" s="663"/>
      <c r="E64" s="663"/>
      <c r="F64" s="663"/>
      <c r="G64" s="663"/>
      <c r="H64" s="663"/>
      <c r="I64" s="663"/>
      <c r="J64" s="663"/>
      <c r="K64" s="663"/>
      <c r="L64" s="663"/>
      <c r="M64" s="663"/>
      <c r="N64" s="663"/>
      <c r="O64" s="663"/>
      <c r="P64" s="663"/>
      <c r="Q64" s="663"/>
      <c r="R64" s="664"/>
    </row>
    <row r="65" spans="2:18" x14ac:dyDescent="0.2">
      <c r="B65" s="662"/>
      <c r="C65" s="663"/>
      <c r="D65" s="663"/>
      <c r="E65" s="663"/>
      <c r="F65" s="663"/>
      <c r="G65" s="663"/>
      <c r="H65" s="663"/>
      <c r="I65" s="663"/>
      <c r="J65" s="663"/>
      <c r="K65" s="663"/>
      <c r="L65" s="663"/>
      <c r="M65" s="663"/>
      <c r="N65" s="663"/>
      <c r="O65" s="663"/>
      <c r="P65" s="663"/>
      <c r="Q65" s="663"/>
      <c r="R65" s="664"/>
    </row>
    <row r="66" spans="2:18" x14ac:dyDescent="0.2">
      <c r="B66" s="662"/>
      <c r="C66" s="663"/>
      <c r="D66" s="663"/>
      <c r="E66" s="663"/>
      <c r="F66" s="663"/>
      <c r="G66" s="663"/>
      <c r="H66" s="663"/>
      <c r="I66" s="663"/>
      <c r="J66" s="663"/>
      <c r="K66" s="663"/>
      <c r="L66" s="663"/>
      <c r="M66" s="663"/>
      <c r="N66" s="663"/>
      <c r="O66" s="663"/>
      <c r="P66" s="663"/>
      <c r="Q66" s="663"/>
      <c r="R66" s="664"/>
    </row>
    <row r="67" spans="2:18" x14ac:dyDescent="0.2">
      <c r="B67" s="662"/>
      <c r="C67" s="663"/>
      <c r="D67" s="663"/>
      <c r="E67" s="663"/>
      <c r="F67" s="663"/>
      <c r="G67" s="663"/>
      <c r="H67" s="663"/>
      <c r="I67" s="663"/>
      <c r="J67" s="663"/>
      <c r="K67" s="663"/>
      <c r="L67" s="663"/>
      <c r="M67" s="663"/>
      <c r="N67" s="663"/>
      <c r="O67" s="663"/>
      <c r="P67" s="663"/>
      <c r="Q67" s="663"/>
      <c r="R67" s="664"/>
    </row>
    <row r="68" spans="2:18" x14ac:dyDescent="0.2">
      <c r="B68" s="662"/>
      <c r="C68" s="663"/>
      <c r="D68" s="663"/>
      <c r="E68" s="663"/>
      <c r="F68" s="663"/>
      <c r="G68" s="663"/>
      <c r="H68" s="663"/>
      <c r="I68" s="663"/>
      <c r="J68" s="663"/>
      <c r="K68" s="663"/>
      <c r="L68" s="663"/>
      <c r="M68" s="663"/>
      <c r="N68" s="663"/>
      <c r="O68" s="663"/>
      <c r="P68" s="663"/>
      <c r="Q68" s="663"/>
      <c r="R68" s="664"/>
    </row>
    <row r="69" spans="2:18" x14ac:dyDescent="0.2">
      <c r="B69" s="662"/>
      <c r="C69" s="663"/>
      <c r="D69" s="663"/>
      <c r="E69" s="663"/>
      <c r="F69" s="663"/>
      <c r="G69" s="663"/>
      <c r="H69" s="663"/>
      <c r="I69" s="663"/>
      <c r="J69" s="663"/>
      <c r="K69" s="663"/>
      <c r="L69" s="663"/>
      <c r="M69" s="663"/>
      <c r="N69" s="663"/>
      <c r="O69" s="663"/>
      <c r="P69" s="663"/>
      <c r="Q69" s="663"/>
      <c r="R69" s="664"/>
    </row>
    <row r="70" spans="2:18" x14ac:dyDescent="0.2">
      <c r="B70" s="662"/>
      <c r="C70" s="663"/>
      <c r="D70" s="663"/>
      <c r="E70" s="663"/>
      <c r="F70" s="663"/>
      <c r="G70" s="663"/>
      <c r="H70" s="663"/>
      <c r="I70" s="663"/>
      <c r="J70" s="663"/>
      <c r="K70" s="663"/>
      <c r="L70" s="663"/>
      <c r="M70" s="663"/>
      <c r="N70" s="663"/>
      <c r="O70" s="663"/>
      <c r="P70" s="663"/>
      <c r="Q70" s="663"/>
      <c r="R70" s="664"/>
    </row>
    <row r="71" spans="2:18" x14ac:dyDescent="0.2">
      <c r="B71" s="662"/>
      <c r="C71" s="663"/>
      <c r="D71" s="663"/>
      <c r="E71" s="663"/>
      <c r="F71" s="663"/>
      <c r="G71" s="663"/>
      <c r="H71" s="663"/>
      <c r="I71" s="663"/>
      <c r="J71" s="663"/>
      <c r="K71" s="663"/>
      <c r="L71" s="663"/>
      <c r="M71" s="663"/>
      <c r="N71" s="663"/>
      <c r="O71" s="663"/>
      <c r="P71" s="663"/>
      <c r="Q71" s="663"/>
      <c r="R71" s="664"/>
    </row>
    <row r="72" spans="2:18" x14ac:dyDescent="0.2">
      <c r="B72" s="662"/>
      <c r="C72" s="663"/>
      <c r="D72" s="663"/>
      <c r="E72" s="663"/>
      <c r="F72" s="663"/>
      <c r="G72" s="663"/>
      <c r="H72" s="663"/>
      <c r="I72" s="663"/>
      <c r="J72" s="663"/>
      <c r="K72" s="663"/>
      <c r="L72" s="663"/>
      <c r="M72" s="663"/>
      <c r="N72" s="663"/>
      <c r="O72" s="663"/>
      <c r="P72" s="663"/>
      <c r="Q72" s="663"/>
      <c r="R72" s="664"/>
    </row>
    <row r="73" spans="2:18" x14ac:dyDescent="0.2">
      <c r="B73" s="662"/>
      <c r="C73" s="663"/>
      <c r="D73" s="663"/>
      <c r="E73" s="663"/>
      <c r="F73" s="663"/>
      <c r="G73" s="663"/>
      <c r="H73" s="663"/>
      <c r="I73" s="663"/>
      <c r="J73" s="663"/>
      <c r="K73" s="663"/>
      <c r="L73" s="663"/>
      <c r="M73" s="663"/>
      <c r="N73" s="663"/>
      <c r="O73" s="663"/>
      <c r="P73" s="663"/>
      <c r="Q73" s="663"/>
      <c r="R73" s="664"/>
    </row>
    <row r="74" spans="2:18" x14ac:dyDescent="0.2">
      <c r="B74" s="662"/>
      <c r="C74" s="663"/>
      <c r="D74" s="663"/>
      <c r="E74" s="663"/>
      <c r="F74" s="663"/>
      <c r="G74" s="663"/>
      <c r="H74" s="663"/>
      <c r="I74" s="663"/>
      <c r="J74" s="663"/>
      <c r="K74" s="663"/>
      <c r="L74" s="663"/>
      <c r="M74" s="663"/>
      <c r="N74" s="663"/>
      <c r="O74" s="663"/>
      <c r="P74" s="663"/>
      <c r="Q74" s="663"/>
      <c r="R74" s="664"/>
    </row>
    <row r="75" spans="2:18" x14ac:dyDescent="0.2">
      <c r="B75" s="662"/>
      <c r="C75" s="663"/>
      <c r="D75" s="663"/>
      <c r="E75" s="663"/>
      <c r="F75" s="663"/>
      <c r="G75" s="663"/>
      <c r="H75" s="663"/>
      <c r="I75" s="663"/>
      <c r="J75" s="663"/>
      <c r="K75" s="663"/>
      <c r="L75" s="663"/>
      <c r="M75" s="663"/>
      <c r="N75" s="663"/>
      <c r="O75" s="663"/>
      <c r="P75" s="663"/>
      <c r="Q75" s="663"/>
      <c r="R75" s="664"/>
    </row>
    <row r="76" spans="2:18" x14ac:dyDescent="0.2">
      <c r="B76" s="662"/>
      <c r="C76" s="663"/>
      <c r="D76" s="663"/>
      <c r="E76" s="663"/>
      <c r="F76" s="663"/>
      <c r="G76" s="663"/>
      <c r="H76" s="663"/>
      <c r="I76" s="663"/>
      <c r="J76" s="663"/>
      <c r="K76" s="663"/>
      <c r="L76" s="663"/>
      <c r="M76" s="663"/>
      <c r="N76" s="663"/>
      <c r="O76" s="663"/>
      <c r="P76" s="663"/>
      <c r="Q76" s="663"/>
      <c r="R76" s="664"/>
    </row>
    <row r="77" spans="2:18" x14ac:dyDescent="0.2">
      <c r="B77" s="662"/>
      <c r="C77" s="663"/>
      <c r="D77" s="663"/>
      <c r="E77" s="663"/>
      <c r="F77" s="663"/>
      <c r="G77" s="663"/>
      <c r="H77" s="663"/>
      <c r="I77" s="663"/>
      <c r="J77" s="663"/>
      <c r="K77" s="663"/>
      <c r="L77" s="663"/>
      <c r="M77" s="663"/>
      <c r="N77" s="663"/>
      <c r="O77" s="663"/>
      <c r="P77" s="663"/>
      <c r="Q77" s="663"/>
      <c r="R77" s="664"/>
    </row>
    <row r="78" spans="2:18" x14ac:dyDescent="0.2">
      <c r="B78" s="662"/>
      <c r="C78" s="663"/>
      <c r="D78" s="663"/>
      <c r="E78" s="663"/>
      <c r="F78" s="663"/>
      <c r="G78" s="663"/>
      <c r="H78" s="663"/>
      <c r="I78" s="663"/>
      <c r="J78" s="663"/>
      <c r="K78" s="663"/>
      <c r="L78" s="663"/>
      <c r="M78" s="663"/>
      <c r="N78" s="663"/>
      <c r="O78" s="663"/>
      <c r="P78" s="663"/>
      <c r="Q78" s="663"/>
      <c r="R78" s="664"/>
    </row>
    <row r="79" spans="2:18" x14ac:dyDescent="0.2">
      <c r="B79" s="662"/>
      <c r="C79" s="663"/>
      <c r="D79" s="663"/>
      <c r="E79" s="663"/>
      <c r="F79" s="663"/>
      <c r="G79" s="663"/>
      <c r="H79" s="663"/>
      <c r="I79" s="663"/>
      <c r="J79" s="663"/>
      <c r="K79" s="663"/>
      <c r="L79" s="663"/>
      <c r="M79" s="663"/>
      <c r="N79" s="663"/>
      <c r="O79" s="663"/>
      <c r="P79" s="663"/>
      <c r="Q79" s="663"/>
      <c r="R79" s="664"/>
    </row>
    <row r="80" spans="2:18" x14ac:dyDescent="0.2">
      <c r="B80" s="662"/>
      <c r="C80" s="663"/>
      <c r="D80" s="663"/>
      <c r="E80" s="663"/>
      <c r="F80" s="663"/>
      <c r="G80" s="663"/>
      <c r="H80" s="663"/>
      <c r="I80" s="663"/>
      <c r="J80" s="663"/>
      <c r="K80" s="663"/>
      <c r="L80" s="663"/>
      <c r="M80" s="663"/>
      <c r="N80" s="663"/>
      <c r="O80" s="663"/>
      <c r="P80" s="663"/>
      <c r="Q80" s="663"/>
      <c r="R80" s="664"/>
    </row>
    <row r="81" spans="2:18" x14ac:dyDescent="0.2">
      <c r="B81" s="662"/>
      <c r="C81" s="663"/>
      <c r="D81" s="663"/>
      <c r="E81" s="663"/>
      <c r="F81" s="663"/>
      <c r="G81" s="663"/>
      <c r="H81" s="663"/>
      <c r="I81" s="663"/>
      <c r="J81" s="663"/>
      <c r="K81" s="663"/>
      <c r="L81" s="663"/>
      <c r="M81" s="663"/>
      <c r="N81" s="663"/>
      <c r="O81" s="663"/>
      <c r="P81" s="663"/>
      <c r="Q81" s="663"/>
      <c r="R81" s="664"/>
    </row>
    <row r="82" spans="2:18" x14ac:dyDescent="0.2">
      <c r="B82" s="662"/>
      <c r="C82" s="663"/>
      <c r="D82" s="663"/>
      <c r="E82" s="663"/>
      <c r="F82" s="663"/>
      <c r="G82" s="663"/>
      <c r="H82" s="663"/>
      <c r="I82" s="663"/>
      <c r="J82" s="663"/>
      <c r="K82" s="663"/>
      <c r="L82" s="663"/>
      <c r="M82" s="663"/>
      <c r="N82" s="663"/>
      <c r="O82" s="663"/>
      <c r="P82" s="663"/>
      <c r="Q82" s="663"/>
      <c r="R82" s="664"/>
    </row>
    <row r="83" spans="2:18" x14ac:dyDescent="0.2">
      <c r="B83" s="662"/>
      <c r="C83" s="663"/>
      <c r="D83" s="663"/>
      <c r="E83" s="663"/>
      <c r="F83" s="663"/>
      <c r="G83" s="663"/>
      <c r="H83" s="663"/>
      <c r="I83" s="663"/>
      <c r="J83" s="663"/>
      <c r="K83" s="663"/>
      <c r="L83" s="663"/>
      <c r="M83" s="663"/>
      <c r="N83" s="663"/>
      <c r="O83" s="663"/>
      <c r="P83" s="663"/>
      <c r="Q83" s="663"/>
      <c r="R83" s="664"/>
    </row>
    <row r="84" spans="2:18" x14ac:dyDescent="0.2">
      <c r="B84" s="662"/>
      <c r="C84" s="663"/>
      <c r="D84" s="663"/>
      <c r="E84" s="663"/>
      <c r="F84" s="663"/>
      <c r="G84" s="663"/>
      <c r="H84" s="663"/>
      <c r="I84" s="663"/>
      <c r="J84" s="663"/>
      <c r="K84" s="663"/>
      <c r="L84" s="663"/>
      <c r="M84" s="663"/>
      <c r="N84" s="663"/>
      <c r="O84" s="663"/>
      <c r="P84" s="663"/>
      <c r="Q84" s="663"/>
      <c r="R84" s="664"/>
    </row>
    <row r="85" spans="2:18" x14ac:dyDescent="0.2">
      <c r="B85" s="662"/>
      <c r="C85" s="663"/>
      <c r="D85" s="663"/>
      <c r="E85" s="663"/>
      <c r="F85" s="663"/>
      <c r="G85" s="663"/>
      <c r="H85" s="663"/>
      <c r="I85" s="663"/>
      <c r="J85" s="663"/>
      <c r="K85" s="663"/>
      <c r="L85" s="663"/>
      <c r="M85" s="663"/>
      <c r="N85" s="663"/>
      <c r="O85" s="663"/>
      <c r="P85" s="663"/>
      <c r="Q85" s="663"/>
      <c r="R85" s="664"/>
    </row>
    <row r="86" spans="2:18" x14ac:dyDescent="0.2">
      <c r="B86" s="662"/>
      <c r="C86" s="663"/>
      <c r="D86" s="663"/>
      <c r="E86" s="663"/>
      <c r="F86" s="663"/>
      <c r="G86" s="663"/>
      <c r="H86" s="663"/>
      <c r="I86" s="663"/>
      <c r="J86" s="663"/>
      <c r="K86" s="663"/>
      <c r="L86" s="663"/>
      <c r="M86" s="663"/>
      <c r="N86" s="663"/>
      <c r="O86" s="663"/>
      <c r="P86" s="663"/>
      <c r="Q86" s="663"/>
      <c r="R86" s="664"/>
    </row>
    <row r="87" spans="2:18" x14ac:dyDescent="0.2">
      <c r="B87" s="662"/>
      <c r="C87" s="663"/>
      <c r="D87" s="663"/>
      <c r="E87" s="663"/>
      <c r="F87" s="663"/>
      <c r="G87" s="663"/>
      <c r="H87" s="663"/>
      <c r="I87" s="663"/>
      <c r="J87" s="663"/>
      <c r="K87" s="663"/>
      <c r="L87" s="663"/>
      <c r="M87" s="663"/>
      <c r="N87" s="663"/>
      <c r="O87" s="663"/>
      <c r="P87" s="663"/>
      <c r="Q87" s="663"/>
      <c r="R87" s="664"/>
    </row>
    <row r="88" spans="2:18" x14ac:dyDescent="0.2">
      <c r="B88" s="662"/>
      <c r="C88" s="663"/>
      <c r="D88" s="663"/>
      <c r="E88" s="663"/>
      <c r="F88" s="663"/>
      <c r="G88" s="663"/>
      <c r="H88" s="663"/>
      <c r="I88" s="663"/>
      <c r="J88" s="663"/>
      <c r="K88" s="663"/>
      <c r="L88" s="663"/>
      <c r="M88" s="663"/>
      <c r="N88" s="663"/>
      <c r="O88" s="663"/>
      <c r="P88" s="663"/>
      <c r="Q88" s="663"/>
      <c r="R88" s="664"/>
    </row>
    <row r="89" spans="2:18" x14ac:dyDescent="0.2">
      <c r="B89" s="662"/>
      <c r="C89" s="663"/>
      <c r="D89" s="663"/>
      <c r="E89" s="663"/>
      <c r="F89" s="663"/>
      <c r="G89" s="663"/>
      <c r="H89" s="663"/>
      <c r="I89" s="663"/>
      <c r="J89" s="663"/>
      <c r="K89" s="663"/>
      <c r="L89" s="663"/>
      <c r="M89" s="663"/>
      <c r="N89" s="663"/>
      <c r="O89" s="663"/>
      <c r="P89" s="663"/>
      <c r="Q89" s="663"/>
      <c r="R89" s="664"/>
    </row>
    <row r="90" spans="2:18" x14ac:dyDescent="0.2">
      <c r="B90" s="662"/>
      <c r="C90" s="663"/>
      <c r="D90" s="663"/>
      <c r="E90" s="663"/>
      <c r="F90" s="663"/>
      <c r="G90" s="663"/>
      <c r="H90" s="663"/>
      <c r="I90" s="663"/>
      <c r="J90" s="663"/>
      <c r="K90" s="663"/>
      <c r="L90" s="663"/>
      <c r="M90" s="663"/>
      <c r="N90" s="663"/>
      <c r="O90" s="663"/>
      <c r="P90" s="663"/>
      <c r="Q90" s="663"/>
      <c r="R90" s="664"/>
    </row>
    <row r="91" spans="2:18" x14ac:dyDescent="0.2">
      <c r="B91" s="662"/>
      <c r="C91" s="663"/>
      <c r="D91" s="663"/>
      <c r="E91" s="663"/>
      <c r="F91" s="663"/>
      <c r="G91" s="663"/>
      <c r="H91" s="663"/>
      <c r="I91" s="663"/>
      <c r="J91" s="663"/>
      <c r="K91" s="663"/>
      <c r="L91" s="663"/>
      <c r="M91" s="663"/>
      <c r="N91" s="663"/>
      <c r="O91" s="663"/>
      <c r="P91" s="663"/>
      <c r="Q91" s="663"/>
      <c r="R91" s="664"/>
    </row>
    <row r="92" spans="2:18" x14ac:dyDescent="0.2">
      <c r="B92" s="662"/>
      <c r="C92" s="663"/>
      <c r="D92" s="663"/>
      <c r="E92" s="663"/>
      <c r="F92" s="663"/>
      <c r="G92" s="663"/>
      <c r="H92" s="663"/>
      <c r="I92" s="663"/>
      <c r="J92" s="663"/>
      <c r="K92" s="663"/>
      <c r="L92" s="663"/>
      <c r="M92" s="663"/>
      <c r="N92" s="663"/>
      <c r="O92" s="663"/>
      <c r="P92" s="663"/>
      <c r="Q92" s="663"/>
      <c r="R92" s="664"/>
    </row>
    <row r="93" spans="2:18" x14ac:dyDescent="0.2">
      <c r="B93" s="662"/>
      <c r="C93" s="663"/>
      <c r="D93" s="663"/>
      <c r="E93" s="663"/>
      <c r="F93" s="663"/>
      <c r="G93" s="663"/>
      <c r="H93" s="663"/>
      <c r="I93" s="663"/>
      <c r="J93" s="663"/>
      <c r="K93" s="663"/>
      <c r="L93" s="663"/>
      <c r="M93" s="663"/>
      <c r="N93" s="663"/>
      <c r="O93" s="663"/>
      <c r="P93" s="663"/>
      <c r="Q93" s="663"/>
      <c r="R93" s="664"/>
    </row>
    <row r="94" spans="2:18" x14ac:dyDescent="0.2">
      <c r="B94" s="662"/>
      <c r="C94" s="663"/>
      <c r="D94" s="663"/>
      <c r="E94" s="663"/>
      <c r="F94" s="663"/>
      <c r="G94" s="663"/>
      <c r="H94" s="663"/>
      <c r="I94" s="663"/>
      <c r="J94" s="663"/>
      <c r="K94" s="663"/>
      <c r="L94" s="663"/>
      <c r="M94" s="663"/>
      <c r="N94" s="663"/>
      <c r="O94" s="663"/>
      <c r="P94" s="663"/>
      <c r="Q94" s="663"/>
      <c r="R94" s="664"/>
    </row>
    <row r="95" spans="2:18" x14ac:dyDescent="0.2">
      <c r="B95" s="669"/>
      <c r="C95" s="670"/>
      <c r="D95" s="670"/>
      <c r="E95" s="670"/>
      <c r="F95" s="670"/>
      <c r="G95" s="670"/>
      <c r="H95" s="670"/>
      <c r="I95" s="670"/>
      <c r="J95" s="670"/>
      <c r="K95" s="670"/>
      <c r="L95" s="670"/>
      <c r="M95" s="670"/>
      <c r="N95" s="670"/>
      <c r="O95" s="670"/>
      <c r="P95" s="670"/>
      <c r="Q95" s="787" t="s">
        <v>378</v>
      </c>
      <c r="R95" s="671"/>
    </row>
    <row r="96" spans="2:18" x14ac:dyDescent="0.2">
      <c r="B96" s="659"/>
      <c r="C96" s="660"/>
      <c r="D96" s="660"/>
      <c r="E96" s="660"/>
      <c r="F96" s="660"/>
      <c r="G96" s="660"/>
      <c r="H96" s="660"/>
      <c r="I96" s="660"/>
      <c r="J96" s="660"/>
      <c r="K96" s="660"/>
      <c r="L96" s="660"/>
      <c r="M96" s="660"/>
      <c r="N96" s="660"/>
      <c r="O96" s="660"/>
      <c r="P96" s="660"/>
      <c r="Q96" s="660"/>
      <c r="R96" s="661"/>
    </row>
    <row r="97" spans="2:18" x14ac:dyDescent="0.2">
      <c r="B97" s="662"/>
      <c r="C97" s="663"/>
      <c r="D97" s="663"/>
      <c r="E97" s="663"/>
      <c r="F97" s="663"/>
      <c r="G97" s="663"/>
      <c r="H97" s="663"/>
      <c r="I97" s="663"/>
      <c r="J97" s="663"/>
      <c r="K97" s="663"/>
      <c r="L97" s="663"/>
      <c r="M97" s="663"/>
      <c r="N97" s="663"/>
      <c r="O97" s="663"/>
      <c r="P97" s="663"/>
      <c r="Q97" s="663"/>
      <c r="R97" s="664"/>
    </row>
    <row r="98" spans="2:18" x14ac:dyDescent="0.2">
      <c r="B98" s="662"/>
      <c r="C98" s="663"/>
      <c r="D98" s="663"/>
      <c r="E98" s="663"/>
      <c r="F98" s="663"/>
      <c r="G98" s="663"/>
      <c r="H98" s="663"/>
      <c r="I98" s="663"/>
      <c r="J98" s="663"/>
      <c r="K98" s="663"/>
      <c r="L98" s="663"/>
      <c r="M98" s="663"/>
      <c r="N98" s="663"/>
      <c r="O98" s="663"/>
      <c r="P98" s="663"/>
      <c r="Q98" s="663"/>
      <c r="R98" s="664"/>
    </row>
    <row r="99" spans="2:18" x14ac:dyDescent="0.2">
      <c r="B99" s="662"/>
      <c r="C99" s="663"/>
      <c r="D99" s="663"/>
      <c r="E99" s="663"/>
      <c r="F99" s="663"/>
      <c r="G99" s="663"/>
      <c r="H99" s="663"/>
      <c r="I99" s="663"/>
      <c r="J99" s="663"/>
      <c r="K99" s="663"/>
      <c r="L99" s="663"/>
      <c r="M99" s="663"/>
      <c r="N99" s="663"/>
      <c r="O99" s="663"/>
      <c r="P99" s="663"/>
      <c r="Q99" s="663"/>
      <c r="R99" s="664"/>
    </row>
    <row r="100" spans="2:18" x14ac:dyDescent="0.2">
      <c r="B100" s="662"/>
      <c r="C100" s="663"/>
      <c r="D100" s="663"/>
      <c r="E100" s="663"/>
      <c r="F100" s="663"/>
      <c r="G100" s="663"/>
      <c r="H100" s="663"/>
      <c r="I100" s="663"/>
      <c r="J100" s="663"/>
      <c r="K100" s="663"/>
      <c r="L100" s="663"/>
      <c r="M100" s="663"/>
      <c r="N100" s="663"/>
      <c r="O100" s="663"/>
      <c r="P100" s="663"/>
      <c r="Q100" s="663"/>
      <c r="R100" s="664"/>
    </row>
    <row r="101" spans="2:18" x14ac:dyDescent="0.2">
      <c r="B101" s="662"/>
      <c r="C101" s="663"/>
      <c r="D101" s="663"/>
      <c r="E101" s="663"/>
      <c r="F101" s="663"/>
      <c r="G101" s="663"/>
      <c r="H101" s="663"/>
      <c r="I101" s="663"/>
      <c r="J101" s="663"/>
      <c r="K101" s="663"/>
      <c r="L101" s="663"/>
      <c r="M101" s="663"/>
      <c r="N101" s="663"/>
      <c r="O101" s="663"/>
      <c r="P101" s="663"/>
      <c r="Q101" s="663"/>
      <c r="R101" s="664"/>
    </row>
    <row r="102" spans="2:18" x14ac:dyDescent="0.2">
      <c r="B102" s="662"/>
      <c r="C102" s="663"/>
      <c r="D102" s="663"/>
      <c r="E102" s="663"/>
      <c r="F102" s="663"/>
      <c r="G102" s="663"/>
      <c r="H102" s="663"/>
      <c r="I102" s="663"/>
      <c r="J102" s="663"/>
      <c r="K102" s="663"/>
      <c r="L102" s="663"/>
      <c r="M102" s="663"/>
      <c r="N102" s="663"/>
      <c r="O102" s="663"/>
      <c r="P102" s="663"/>
      <c r="Q102" s="663"/>
      <c r="R102" s="664"/>
    </row>
    <row r="103" spans="2:18" x14ac:dyDescent="0.2">
      <c r="B103" s="662"/>
      <c r="C103" s="663"/>
      <c r="D103" s="663"/>
      <c r="E103" s="663"/>
      <c r="F103" s="663"/>
      <c r="G103" s="663"/>
      <c r="H103" s="663"/>
      <c r="I103" s="663"/>
      <c r="J103" s="663"/>
      <c r="K103" s="663"/>
      <c r="L103" s="663"/>
      <c r="M103" s="663"/>
      <c r="N103" s="663"/>
      <c r="O103" s="663"/>
      <c r="P103" s="663"/>
      <c r="Q103" s="663"/>
      <c r="R103" s="664"/>
    </row>
    <row r="104" spans="2:18" x14ac:dyDescent="0.2">
      <c r="B104" s="662"/>
      <c r="C104" s="663"/>
      <c r="D104" s="663"/>
      <c r="E104" s="663"/>
      <c r="F104" s="663"/>
      <c r="G104" s="663"/>
      <c r="H104" s="663"/>
      <c r="I104" s="663"/>
      <c r="J104" s="663"/>
      <c r="K104" s="663"/>
      <c r="L104" s="663"/>
      <c r="M104" s="663"/>
      <c r="N104" s="663"/>
      <c r="O104" s="663"/>
      <c r="P104" s="663"/>
      <c r="Q104" s="663"/>
      <c r="R104" s="664"/>
    </row>
    <row r="105" spans="2:18" x14ac:dyDescent="0.2">
      <c r="B105" s="662"/>
      <c r="C105" s="663"/>
      <c r="D105" s="663"/>
      <c r="E105" s="663"/>
      <c r="F105" s="663"/>
      <c r="G105" s="663"/>
      <c r="H105" s="663"/>
      <c r="I105" s="663"/>
      <c r="J105" s="663"/>
      <c r="K105" s="663"/>
      <c r="L105" s="663"/>
      <c r="M105" s="663"/>
      <c r="N105" s="663"/>
      <c r="O105" s="663"/>
      <c r="P105" s="663"/>
      <c r="Q105" s="663"/>
      <c r="R105" s="664"/>
    </row>
    <row r="106" spans="2:18" x14ac:dyDescent="0.2">
      <c r="B106" s="662"/>
      <c r="C106" s="663"/>
      <c r="D106" s="663"/>
      <c r="E106" s="663"/>
      <c r="F106" s="663"/>
      <c r="G106" s="663"/>
      <c r="H106" s="663"/>
      <c r="I106" s="663"/>
      <c r="J106" s="663"/>
      <c r="K106" s="663"/>
      <c r="L106" s="663"/>
      <c r="M106" s="663"/>
      <c r="N106" s="663"/>
      <c r="O106" s="663"/>
      <c r="P106" s="663"/>
      <c r="Q106" s="663"/>
      <c r="R106" s="664"/>
    </row>
    <row r="107" spans="2:18" x14ac:dyDescent="0.2">
      <c r="B107" s="662"/>
      <c r="C107" s="663"/>
      <c r="D107" s="663"/>
      <c r="E107" s="663"/>
      <c r="F107" s="663"/>
      <c r="G107" s="663"/>
      <c r="H107" s="663"/>
      <c r="I107" s="663"/>
      <c r="J107" s="663"/>
      <c r="K107" s="663"/>
      <c r="L107" s="663"/>
      <c r="M107" s="663"/>
      <c r="N107" s="663"/>
      <c r="O107" s="663"/>
      <c r="P107" s="663"/>
      <c r="Q107" s="663"/>
      <c r="R107" s="664"/>
    </row>
    <row r="108" spans="2:18" x14ac:dyDescent="0.2">
      <c r="B108" s="662"/>
      <c r="C108" s="663"/>
      <c r="D108" s="663"/>
      <c r="E108" s="663"/>
      <c r="F108" s="663"/>
      <c r="G108" s="663"/>
      <c r="H108" s="663"/>
      <c r="I108" s="663"/>
      <c r="J108" s="663"/>
      <c r="K108" s="663"/>
      <c r="L108" s="663"/>
      <c r="M108" s="663"/>
      <c r="N108" s="663"/>
      <c r="O108" s="663"/>
      <c r="P108" s="663"/>
      <c r="Q108" s="663"/>
      <c r="R108" s="664"/>
    </row>
    <row r="109" spans="2:18" x14ac:dyDescent="0.2">
      <c r="B109" s="662"/>
      <c r="C109" s="663"/>
      <c r="D109" s="663"/>
      <c r="E109" s="663"/>
      <c r="F109" s="663"/>
      <c r="G109" s="663"/>
      <c r="H109" s="663"/>
      <c r="I109" s="663"/>
      <c r="J109" s="663"/>
      <c r="K109" s="663"/>
      <c r="L109" s="663"/>
      <c r="M109" s="663"/>
      <c r="N109" s="663"/>
      <c r="O109" s="663"/>
      <c r="P109" s="663"/>
      <c r="Q109" s="663"/>
      <c r="R109" s="664"/>
    </row>
    <row r="110" spans="2:18" x14ac:dyDescent="0.2">
      <c r="B110" s="662"/>
      <c r="C110" s="663"/>
      <c r="D110" s="663"/>
      <c r="E110" s="663"/>
      <c r="F110" s="663"/>
      <c r="G110" s="663"/>
      <c r="H110" s="663"/>
      <c r="I110" s="663"/>
      <c r="J110" s="663"/>
      <c r="K110" s="663"/>
      <c r="L110" s="663"/>
      <c r="M110" s="663"/>
      <c r="N110" s="663"/>
      <c r="O110" s="663"/>
      <c r="P110" s="663"/>
      <c r="Q110" s="663"/>
      <c r="R110" s="664"/>
    </row>
    <row r="111" spans="2:18" x14ac:dyDescent="0.2">
      <c r="B111" s="662"/>
      <c r="C111" s="663"/>
      <c r="D111" s="663"/>
      <c r="E111" s="663"/>
      <c r="F111" s="663"/>
      <c r="G111" s="663"/>
      <c r="H111" s="663"/>
      <c r="I111" s="663"/>
      <c r="J111" s="663"/>
      <c r="K111" s="663"/>
      <c r="L111" s="663"/>
      <c r="M111" s="663"/>
      <c r="N111" s="663"/>
      <c r="O111" s="663"/>
      <c r="P111" s="663"/>
      <c r="Q111" s="663"/>
      <c r="R111" s="664"/>
    </row>
    <row r="112" spans="2:18" x14ac:dyDescent="0.2">
      <c r="B112" s="662"/>
      <c r="C112" s="663"/>
      <c r="D112" s="663"/>
      <c r="E112" s="663"/>
      <c r="F112" s="663"/>
      <c r="G112" s="663"/>
      <c r="H112" s="663"/>
      <c r="I112" s="663"/>
      <c r="J112" s="663"/>
      <c r="K112" s="663"/>
      <c r="L112" s="663"/>
      <c r="M112" s="663"/>
      <c r="N112" s="663"/>
      <c r="O112" s="663"/>
      <c r="P112" s="663"/>
      <c r="Q112" s="663"/>
      <c r="R112" s="664"/>
    </row>
    <row r="113" spans="2:18" x14ac:dyDescent="0.2">
      <c r="B113" s="662"/>
      <c r="C113" s="663"/>
      <c r="D113" s="663"/>
      <c r="E113" s="663"/>
      <c r="F113" s="663"/>
      <c r="G113" s="663"/>
      <c r="H113" s="663"/>
      <c r="I113" s="663"/>
      <c r="J113" s="663"/>
      <c r="K113" s="663"/>
      <c r="L113" s="663"/>
      <c r="M113" s="663"/>
      <c r="N113" s="663"/>
      <c r="O113" s="663"/>
      <c r="P113" s="663"/>
      <c r="Q113" s="663"/>
      <c r="R113" s="664"/>
    </row>
    <row r="114" spans="2:18" x14ac:dyDescent="0.2">
      <c r="B114" s="662"/>
      <c r="C114" s="663"/>
      <c r="D114" s="663"/>
      <c r="E114" s="663"/>
      <c r="F114" s="663"/>
      <c r="G114" s="663"/>
      <c r="H114" s="663"/>
      <c r="I114" s="663"/>
      <c r="J114" s="663"/>
      <c r="K114" s="663"/>
      <c r="L114" s="663"/>
      <c r="M114" s="663"/>
      <c r="N114" s="663"/>
      <c r="O114" s="663"/>
      <c r="P114" s="663"/>
      <c r="Q114" s="663"/>
      <c r="R114" s="664"/>
    </row>
    <row r="115" spans="2:18" x14ac:dyDescent="0.2">
      <c r="B115" s="662"/>
      <c r="C115" s="663"/>
      <c r="D115" s="663"/>
      <c r="E115" s="663"/>
      <c r="F115" s="663"/>
      <c r="G115" s="663"/>
      <c r="H115" s="663"/>
      <c r="I115" s="663"/>
      <c r="J115" s="663"/>
      <c r="K115" s="663"/>
      <c r="L115" s="663"/>
      <c r="M115" s="663"/>
      <c r="N115" s="663"/>
      <c r="O115" s="663"/>
      <c r="P115" s="663"/>
      <c r="Q115" s="663"/>
      <c r="R115" s="664"/>
    </row>
    <row r="116" spans="2:18" x14ac:dyDescent="0.2">
      <c r="B116" s="662"/>
      <c r="C116" s="663"/>
      <c r="D116" s="663"/>
      <c r="E116" s="663"/>
      <c r="F116" s="663"/>
      <c r="G116" s="663"/>
      <c r="H116" s="663"/>
      <c r="I116" s="663"/>
      <c r="J116" s="663"/>
      <c r="K116" s="663"/>
      <c r="L116" s="663"/>
      <c r="M116" s="663"/>
      <c r="N116" s="663"/>
      <c r="O116" s="663"/>
      <c r="P116" s="663"/>
      <c r="Q116" s="663"/>
      <c r="R116" s="664"/>
    </row>
    <row r="117" spans="2:18" x14ac:dyDescent="0.2">
      <c r="B117" s="662"/>
      <c r="C117" s="663"/>
      <c r="D117" s="663"/>
      <c r="E117" s="663"/>
      <c r="F117" s="663"/>
      <c r="G117" s="663"/>
      <c r="H117" s="663"/>
      <c r="I117" s="663"/>
      <c r="J117" s="663"/>
      <c r="K117" s="663"/>
      <c r="L117" s="663"/>
      <c r="M117" s="663"/>
      <c r="N117" s="663"/>
      <c r="O117" s="663"/>
      <c r="P117" s="663"/>
      <c r="Q117" s="663"/>
      <c r="R117" s="664"/>
    </row>
    <row r="118" spans="2:18" x14ac:dyDescent="0.2">
      <c r="B118" s="662"/>
      <c r="C118" s="663"/>
      <c r="D118" s="663"/>
      <c r="E118" s="663"/>
      <c r="F118" s="663"/>
      <c r="G118" s="663"/>
      <c r="H118" s="663"/>
      <c r="I118" s="663"/>
      <c r="J118" s="663"/>
      <c r="K118" s="663"/>
      <c r="L118" s="663"/>
      <c r="M118" s="663"/>
      <c r="N118" s="663"/>
      <c r="O118" s="663"/>
      <c r="P118" s="663"/>
      <c r="Q118" s="663"/>
      <c r="R118" s="664"/>
    </row>
    <row r="119" spans="2:18" x14ac:dyDescent="0.2">
      <c r="B119" s="662"/>
      <c r="C119" s="663"/>
      <c r="D119" s="663"/>
      <c r="E119" s="663"/>
      <c r="F119" s="663"/>
      <c r="G119" s="663"/>
      <c r="H119" s="663"/>
      <c r="I119" s="663"/>
      <c r="J119" s="663"/>
      <c r="K119" s="663"/>
      <c r="L119" s="663"/>
      <c r="M119" s="663"/>
      <c r="N119" s="663"/>
      <c r="O119" s="663"/>
      <c r="P119" s="663"/>
      <c r="Q119" s="663"/>
      <c r="R119" s="664"/>
    </row>
    <row r="120" spans="2:18" x14ac:dyDescent="0.2">
      <c r="B120" s="662"/>
      <c r="C120" s="663"/>
      <c r="D120" s="663"/>
      <c r="E120" s="663"/>
      <c r="F120" s="663"/>
      <c r="G120" s="663"/>
      <c r="H120" s="663"/>
      <c r="I120" s="663"/>
      <c r="J120" s="663"/>
      <c r="K120" s="663"/>
      <c r="L120" s="663"/>
      <c r="M120" s="663"/>
      <c r="N120" s="663"/>
      <c r="O120" s="663"/>
      <c r="P120" s="663"/>
      <c r="Q120" s="663"/>
      <c r="R120" s="664"/>
    </row>
    <row r="121" spans="2:18" x14ac:dyDescent="0.2">
      <c r="B121" s="662"/>
      <c r="C121" s="663"/>
      <c r="D121" s="663"/>
      <c r="E121" s="663"/>
      <c r="F121" s="663"/>
      <c r="G121" s="663"/>
      <c r="H121" s="663"/>
      <c r="I121" s="663"/>
      <c r="J121" s="663"/>
      <c r="K121" s="663"/>
      <c r="L121" s="663"/>
      <c r="M121" s="663"/>
      <c r="N121" s="663"/>
      <c r="O121" s="663"/>
      <c r="P121" s="663"/>
      <c r="Q121" s="663"/>
      <c r="R121" s="664"/>
    </row>
    <row r="122" spans="2:18" x14ac:dyDescent="0.2">
      <c r="B122" s="662"/>
      <c r="C122" s="663"/>
      <c r="D122" s="663"/>
      <c r="E122" s="663"/>
      <c r="F122" s="663"/>
      <c r="G122" s="663"/>
      <c r="H122" s="663"/>
      <c r="I122" s="663"/>
      <c r="J122" s="663"/>
      <c r="K122" s="663"/>
      <c r="L122" s="663"/>
      <c r="M122" s="663"/>
      <c r="N122" s="663"/>
      <c r="O122" s="663"/>
      <c r="P122" s="663"/>
      <c r="Q122" s="663"/>
      <c r="R122" s="664"/>
    </row>
    <row r="123" spans="2:18" x14ac:dyDescent="0.2">
      <c r="B123" s="662"/>
      <c r="C123" s="663"/>
      <c r="D123" s="663"/>
      <c r="E123" s="663"/>
      <c r="F123" s="663"/>
      <c r="G123" s="663"/>
      <c r="H123" s="663"/>
      <c r="I123" s="663"/>
      <c r="J123" s="663"/>
      <c r="K123" s="663"/>
      <c r="L123" s="663"/>
      <c r="M123" s="663"/>
      <c r="N123" s="663"/>
      <c r="O123" s="663"/>
      <c r="P123" s="663"/>
      <c r="Q123" s="663"/>
      <c r="R123" s="664"/>
    </row>
    <row r="124" spans="2:18" x14ac:dyDescent="0.2">
      <c r="B124" s="662"/>
      <c r="C124" s="663"/>
      <c r="D124" s="663"/>
      <c r="E124" s="663"/>
      <c r="F124" s="663"/>
      <c r="G124" s="663"/>
      <c r="H124" s="663"/>
      <c r="I124" s="663"/>
      <c r="J124" s="663"/>
      <c r="K124" s="663"/>
      <c r="L124" s="663"/>
      <c r="M124" s="663"/>
      <c r="N124" s="663"/>
      <c r="O124" s="663"/>
      <c r="P124" s="663"/>
      <c r="Q124" s="663"/>
      <c r="R124" s="664"/>
    </row>
    <row r="125" spans="2:18" x14ac:dyDescent="0.2">
      <c r="B125" s="662"/>
      <c r="C125" s="663"/>
      <c r="D125" s="663"/>
      <c r="E125" s="663"/>
      <c r="F125" s="663"/>
      <c r="G125" s="663"/>
      <c r="H125" s="663"/>
      <c r="I125" s="663"/>
      <c r="J125" s="663"/>
      <c r="K125" s="663"/>
      <c r="L125" s="663"/>
      <c r="M125" s="663"/>
      <c r="N125" s="663"/>
      <c r="O125" s="663"/>
      <c r="P125" s="663"/>
      <c r="Q125" s="663"/>
      <c r="R125" s="664"/>
    </row>
    <row r="126" spans="2:18" x14ac:dyDescent="0.2">
      <c r="B126" s="662"/>
      <c r="C126" s="663"/>
      <c r="D126" s="663"/>
      <c r="E126" s="663"/>
      <c r="F126" s="663"/>
      <c r="G126" s="663"/>
      <c r="H126" s="663"/>
      <c r="I126" s="663"/>
      <c r="J126" s="663"/>
      <c r="K126" s="663"/>
      <c r="L126" s="663"/>
      <c r="M126" s="663"/>
      <c r="N126" s="663"/>
      <c r="O126" s="663"/>
      <c r="P126" s="663"/>
      <c r="Q126" s="663"/>
      <c r="R126" s="664"/>
    </row>
    <row r="127" spans="2:18" x14ac:dyDescent="0.2">
      <c r="B127" s="662"/>
      <c r="C127" s="663"/>
      <c r="D127" s="663"/>
      <c r="E127" s="663"/>
      <c r="F127" s="663"/>
      <c r="G127" s="663"/>
      <c r="H127" s="663"/>
      <c r="I127" s="663"/>
      <c r="J127" s="663"/>
      <c r="K127" s="663"/>
      <c r="L127" s="663"/>
      <c r="M127" s="663"/>
      <c r="N127" s="663"/>
      <c r="O127" s="663"/>
      <c r="P127" s="663"/>
      <c r="Q127" s="663"/>
      <c r="R127" s="664"/>
    </row>
    <row r="128" spans="2:18" x14ac:dyDescent="0.2">
      <c r="B128" s="662"/>
      <c r="C128" s="663"/>
      <c r="D128" s="663"/>
      <c r="E128" s="663"/>
      <c r="F128" s="663"/>
      <c r="G128" s="663"/>
      <c r="H128" s="663"/>
      <c r="I128" s="663"/>
      <c r="J128" s="663"/>
      <c r="K128" s="663"/>
      <c r="L128" s="663"/>
      <c r="M128" s="663"/>
      <c r="N128" s="663"/>
      <c r="O128" s="663"/>
      <c r="P128" s="663"/>
      <c r="Q128" s="663"/>
      <c r="R128" s="664"/>
    </row>
    <row r="129" spans="2:18" x14ac:dyDescent="0.2">
      <c r="B129" s="662"/>
      <c r="C129" s="663"/>
      <c r="D129" s="663"/>
      <c r="E129" s="663"/>
      <c r="F129" s="663"/>
      <c r="G129" s="663"/>
      <c r="H129" s="663"/>
      <c r="I129" s="663"/>
      <c r="J129" s="663"/>
      <c r="K129" s="663"/>
      <c r="L129" s="663"/>
      <c r="M129" s="663"/>
      <c r="N129" s="663"/>
      <c r="O129" s="663"/>
      <c r="P129" s="663"/>
      <c r="Q129" s="663"/>
      <c r="R129" s="664"/>
    </row>
    <row r="130" spans="2:18" x14ac:dyDescent="0.2">
      <c r="B130" s="662"/>
      <c r="C130" s="663"/>
      <c r="D130" s="663"/>
      <c r="E130" s="663"/>
      <c r="F130" s="663"/>
      <c r="G130" s="663"/>
      <c r="H130" s="663"/>
      <c r="I130" s="663"/>
      <c r="J130" s="663"/>
      <c r="K130" s="663"/>
      <c r="L130" s="663"/>
      <c r="M130" s="663"/>
      <c r="N130" s="663"/>
      <c r="O130" s="663"/>
      <c r="P130" s="663"/>
      <c r="Q130" s="663"/>
      <c r="R130" s="664"/>
    </row>
    <row r="131" spans="2:18" x14ac:dyDescent="0.2">
      <c r="B131" s="662"/>
      <c r="C131" s="663"/>
      <c r="D131" s="663"/>
      <c r="E131" s="663"/>
      <c r="F131" s="663"/>
      <c r="G131" s="663"/>
      <c r="H131" s="663"/>
      <c r="I131" s="663"/>
      <c r="J131" s="663"/>
      <c r="K131" s="663"/>
      <c r="L131" s="663"/>
      <c r="M131" s="663"/>
      <c r="N131" s="663"/>
      <c r="O131" s="663"/>
      <c r="P131" s="663"/>
      <c r="Q131" s="663"/>
      <c r="R131" s="664"/>
    </row>
    <row r="132" spans="2:18" x14ac:dyDescent="0.2">
      <c r="B132" s="662"/>
      <c r="C132" s="663"/>
      <c r="D132" s="663"/>
      <c r="E132" s="663"/>
      <c r="F132" s="663"/>
      <c r="G132" s="663"/>
      <c r="H132" s="663"/>
      <c r="I132" s="663"/>
      <c r="J132" s="663"/>
      <c r="K132" s="663"/>
      <c r="L132" s="663"/>
      <c r="M132" s="663"/>
      <c r="N132" s="663"/>
      <c r="O132" s="663"/>
      <c r="P132" s="663"/>
      <c r="Q132" s="663"/>
      <c r="R132" s="664"/>
    </row>
    <row r="133" spans="2:18" x14ac:dyDescent="0.2">
      <c r="B133" s="662"/>
      <c r="C133" s="663"/>
      <c r="D133" s="663"/>
      <c r="E133" s="663"/>
      <c r="F133" s="663"/>
      <c r="G133" s="663"/>
      <c r="H133" s="663"/>
      <c r="I133" s="663"/>
      <c r="J133" s="663"/>
      <c r="K133" s="663"/>
      <c r="L133" s="663"/>
      <c r="M133" s="663"/>
      <c r="N133" s="663"/>
      <c r="O133" s="663"/>
      <c r="P133" s="663"/>
      <c r="Q133" s="663"/>
      <c r="R133" s="664"/>
    </row>
    <row r="134" spans="2:18" x14ac:dyDescent="0.2">
      <c r="B134" s="662"/>
      <c r="C134" s="663"/>
      <c r="D134" s="663"/>
      <c r="E134" s="663"/>
      <c r="F134" s="663"/>
      <c r="G134" s="663"/>
      <c r="H134" s="663"/>
      <c r="I134" s="663"/>
      <c r="J134" s="663"/>
      <c r="K134" s="663"/>
      <c r="L134" s="663"/>
      <c r="M134" s="663"/>
      <c r="N134" s="663"/>
      <c r="O134" s="663"/>
      <c r="P134" s="663"/>
      <c r="Q134" s="663"/>
      <c r="R134" s="664"/>
    </row>
    <row r="135" spans="2:18" x14ac:dyDescent="0.2">
      <c r="B135" s="662"/>
      <c r="C135" s="663"/>
      <c r="D135" s="663"/>
      <c r="E135" s="663"/>
      <c r="F135" s="663"/>
      <c r="G135" s="663"/>
      <c r="H135" s="663"/>
      <c r="I135" s="663"/>
      <c r="J135" s="663"/>
      <c r="K135" s="663"/>
      <c r="L135" s="663"/>
      <c r="M135" s="663"/>
      <c r="N135" s="663"/>
      <c r="O135" s="663"/>
      <c r="P135" s="663"/>
      <c r="Q135" s="663"/>
      <c r="R135" s="664"/>
    </row>
    <row r="136" spans="2:18" x14ac:dyDescent="0.2">
      <c r="B136" s="662"/>
      <c r="C136" s="663"/>
      <c r="D136" s="663"/>
      <c r="E136" s="663"/>
      <c r="F136" s="663"/>
      <c r="G136" s="663"/>
      <c r="H136" s="663"/>
      <c r="I136" s="663"/>
      <c r="J136" s="663"/>
      <c r="K136" s="663"/>
      <c r="L136" s="663"/>
      <c r="M136" s="663"/>
      <c r="N136" s="663"/>
      <c r="O136" s="663"/>
      <c r="P136" s="663"/>
      <c r="Q136" s="663"/>
      <c r="R136" s="664"/>
    </row>
    <row r="137" spans="2:18" x14ac:dyDescent="0.2">
      <c r="B137" s="662"/>
      <c r="C137" s="663"/>
      <c r="D137" s="663"/>
      <c r="E137" s="663"/>
      <c r="F137" s="663"/>
      <c r="G137" s="663"/>
      <c r="H137" s="663"/>
      <c r="I137" s="663"/>
      <c r="J137" s="663"/>
      <c r="K137" s="663"/>
      <c r="L137" s="663"/>
      <c r="M137" s="663"/>
      <c r="N137" s="663"/>
      <c r="O137" s="663"/>
      <c r="P137" s="663"/>
      <c r="Q137" s="663"/>
      <c r="R137" s="664"/>
    </row>
    <row r="138" spans="2:18" x14ac:dyDescent="0.2">
      <c r="B138" s="662"/>
      <c r="C138" s="663"/>
      <c r="D138" s="663"/>
      <c r="E138" s="663"/>
      <c r="F138" s="663"/>
      <c r="G138" s="663"/>
      <c r="H138" s="663"/>
      <c r="I138" s="663"/>
      <c r="J138" s="663"/>
      <c r="K138" s="663"/>
      <c r="L138" s="663"/>
      <c r="M138" s="663"/>
      <c r="N138" s="663"/>
      <c r="O138" s="663"/>
      <c r="P138" s="663"/>
      <c r="Q138" s="663"/>
      <c r="R138" s="664"/>
    </row>
    <row r="139" spans="2:18" x14ac:dyDescent="0.2">
      <c r="B139" s="662"/>
      <c r="C139" s="663"/>
      <c r="D139" s="663"/>
      <c r="E139" s="663"/>
      <c r="F139" s="663"/>
      <c r="G139" s="663"/>
      <c r="H139" s="663"/>
      <c r="I139" s="663"/>
      <c r="J139" s="663"/>
      <c r="K139" s="663"/>
      <c r="L139" s="663"/>
      <c r="M139" s="663"/>
      <c r="N139" s="663"/>
      <c r="O139" s="663"/>
      <c r="P139" s="663"/>
      <c r="Q139" s="663"/>
      <c r="R139" s="664"/>
    </row>
    <row r="140" spans="2:18" x14ac:dyDescent="0.2">
      <c r="B140" s="662"/>
      <c r="C140" s="663"/>
      <c r="D140" s="663"/>
      <c r="E140" s="663"/>
      <c r="F140" s="663"/>
      <c r="G140" s="663"/>
      <c r="H140" s="663"/>
      <c r="I140" s="663"/>
      <c r="J140" s="663"/>
      <c r="K140" s="663"/>
      <c r="L140" s="663"/>
      <c r="M140" s="663"/>
      <c r="N140" s="663"/>
      <c r="O140" s="663"/>
      <c r="P140" s="663"/>
      <c r="Q140" s="663"/>
      <c r="R140" s="664"/>
    </row>
    <row r="141" spans="2:18" x14ac:dyDescent="0.2">
      <c r="B141" s="662"/>
      <c r="C141" s="663"/>
      <c r="D141" s="663"/>
      <c r="E141" s="663"/>
      <c r="F141" s="663"/>
      <c r="G141" s="663"/>
      <c r="H141" s="663"/>
      <c r="I141" s="663"/>
      <c r="J141" s="663"/>
      <c r="K141" s="663"/>
      <c r="L141" s="663"/>
      <c r="M141" s="663"/>
      <c r="N141" s="663"/>
      <c r="O141" s="663"/>
      <c r="P141" s="663"/>
      <c r="Q141" s="663"/>
      <c r="R141" s="664"/>
    </row>
    <row r="142" spans="2:18" x14ac:dyDescent="0.2">
      <c r="B142" s="662"/>
      <c r="C142" s="663"/>
      <c r="D142" s="663"/>
      <c r="E142" s="663"/>
      <c r="F142" s="663"/>
      <c r="G142" s="663"/>
      <c r="H142" s="663"/>
      <c r="I142" s="663"/>
      <c r="J142" s="663"/>
      <c r="K142" s="663"/>
      <c r="L142" s="663"/>
      <c r="M142" s="663"/>
      <c r="N142" s="663"/>
      <c r="O142" s="663"/>
      <c r="P142" s="663"/>
      <c r="Q142" s="663"/>
      <c r="R142" s="664"/>
    </row>
    <row r="143" spans="2:18" x14ac:dyDescent="0.2">
      <c r="B143" s="662"/>
      <c r="C143" s="663"/>
      <c r="D143" s="663"/>
      <c r="E143" s="663"/>
      <c r="F143" s="663"/>
      <c r="G143" s="663"/>
      <c r="H143" s="663"/>
      <c r="I143" s="663"/>
      <c r="J143" s="663"/>
      <c r="K143" s="663"/>
      <c r="L143" s="663"/>
      <c r="M143" s="663"/>
      <c r="N143" s="663"/>
      <c r="O143" s="663"/>
      <c r="P143" s="663"/>
      <c r="Q143" s="663"/>
      <c r="R143" s="664"/>
    </row>
    <row r="144" spans="2:18" x14ac:dyDescent="0.2">
      <c r="B144" s="662"/>
      <c r="C144" s="663"/>
      <c r="D144" s="663"/>
      <c r="E144" s="663"/>
      <c r="F144" s="663"/>
      <c r="G144" s="663"/>
      <c r="H144" s="663"/>
      <c r="I144" s="663"/>
      <c r="J144" s="663"/>
      <c r="K144" s="663"/>
      <c r="L144" s="663"/>
      <c r="M144" s="663"/>
      <c r="N144" s="663"/>
      <c r="O144" s="663"/>
      <c r="P144" s="663"/>
      <c r="Q144" s="663"/>
      <c r="R144" s="664"/>
    </row>
    <row r="145" spans="2:18" x14ac:dyDescent="0.2">
      <c r="B145" s="662"/>
      <c r="C145" s="663"/>
      <c r="D145" s="663"/>
      <c r="E145" s="663"/>
      <c r="F145" s="663"/>
      <c r="G145" s="663"/>
      <c r="H145" s="663"/>
      <c r="I145" s="663"/>
      <c r="J145" s="663"/>
      <c r="K145" s="663"/>
      <c r="L145" s="663"/>
      <c r="M145" s="663"/>
      <c r="N145" s="663"/>
      <c r="O145" s="663"/>
      <c r="P145" s="663"/>
      <c r="Q145" s="663"/>
      <c r="R145" s="664"/>
    </row>
    <row r="146" spans="2:18" x14ac:dyDescent="0.2">
      <c r="B146" s="662"/>
      <c r="C146" s="663"/>
      <c r="D146" s="663"/>
      <c r="E146" s="663"/>
      <c r="F146" s="663"/>
      <c r="G146" s="663"/>
      <c r="H146" s="663"/>
      <c r="I146" s="663"/>
      <c r="J146" s="663"/>
      <c r="K146" s="663"/>
      <c r="L146" s="663"/>
      <c r="M146" s="663"/>
      <c r="N146" s="663"/>
      <c r="O146" s="663"/>
      <c r="P146" s="663"/>
      <c r="Q146" s="663"/>
      <c r="R146" s="664"/>
    </row>
    <row r="147" spans="2:18" x14ac:dyDescent="0.2">
      <c r="B147" s="662"/>
      <c r="C147" s="663"/>
      <c r="D147" s="663"/>
      <c r="E147" s="663"/>
      <c r="F147" s="663"/>
      <c r="G147" s="663"/>
      <c r="H147" s="663"/>
      <c r="I147" s="663"/>
      <c r="J147" s="663"/>
      <c r="K147" s="663"/>
      <c r="L147" s="663"/>
      <c r="M147" s="663"/>
      <c r="N147" s="663"/>
      <c r="O147" s="663"/>
      <c r="P147" s="663"/>
      <c r="Q147" s="663"/>
      <c r="R147" s="664"/>
    </row>
    <row r="148" spans="2:18" x14ac:dyDescent="0.2">
      <c r="B148" s="662"/>
      <c r="C148" s="663"/>
      <c r="D148" s="663"/>
      <c r="E148" s="663"/>
      <c r="F148" s="663"/>
      <c r="G148" s="663"/>
      <c r="H148" s="663"/>
      <c r="I148" s="663"/>
      <c r="J148" s="663"/>
      <c r="K148" s="663"/>
      <c r="L148" s="663"/>
      <c r="M148" s="663"/>
      <c r="N148" s="663"/>
      <c r="O148" s="663"/>
      <c r="P148" s="663"/>
      <c r="Q148" s="663"/>
      <c r="R148" s="664"/>
    </row>
    <row r="149" spans="2:18" x14ac:dyDescent="0.2">
      <c r="B149" s="662"/>
      <c r="C149" s="663"/>
      <c r="D149" s="663"/>
      <c r="E149" s="663"/>
      <c r="F149" s="663"/>
      <c r="G149" s="663"/>
      <c r="H149" s="663"/>
      <c r="I149" s="663"/>
      <c r="J149" s="663"/>
      <c r="K149" s="663"/>
      <c r="L149" s="663"/>
      <c r="M149" s="663"/>
      <c r="N149" s="663"/>
      <c r="O149" s="663"/>
      <c r="P149" s="663"/>
      <c r="Q149" s="663"/>
      <c r="R149" s="664"/>
    </row>
    <row r="150" spans="2:18" x14ac:dyDescent="0.2">
      <c r="B150" s="662"/>
      <c r="C150" s="663"/>
      <c r="D150" s="663"/>
      <c r="E150" s="663"/>
      <c r="F150" s="663"/>
      <c r="G150" s="663"/>
      <c r="H150" s="663"/>
      <c r="I150" s="663"/>
      <c r="J150" s="663"/>
      <c r="K150" s="663"/>
      <c r="L150" s="663"/>
      <c r="M150" s="663"/>
      <c r="N150" s="663"/>
      <c r="O150" s="663"/>
      <c r="P150" s="663"/>
      <c r="Q150" s="663"/>
      <c r="R150" s="664"/>
    </row>
    <row r="151" spans="2:18" x14ac:dyDescent="0.2">
      <c r="B151" s="662"/>
      <c r="C151" s="663"/>
      <c r="D151" s="663"/>
      <c r="E151" s="663"/>
      <c r="F151" s="663"/>
      <c r="G151" s="663"/>
      <c r="H151" s="663"/>
      <c r="I151" s="663"/>
      <c r="J151" s="663"/>
      <c r="K151" s="663"/>
      <c r="L151" s="663"/>
      <c r="M151" s="663"/>
      <c r="N151" s="663"/>
      <c r="O151" s="663"/>
      <c r="P151" s="663"/>
      <c r="Q151" s="663"/>
      <c r="R151" s="664"/>
    </row>
    <row r="152" spans="2:18" x14ac:dyDescent="0.2">
      <c r="B152" s="662"/>
      <c r="C152" s="663"/>
      <c r="D152" s="663"/>
      <c r="E152" s="663"/>
      <c r="F152" s="663"/>
      <c r="G152" s="663"/>
      <c r="H152" s="663"/>
      <c r="I152" s="663"/>
      <c r="J152" s="663"/>
      <c r="K152" s="663"/>
      <c r="L152" s="663"/>
      <c r="M152" s="663"/>
      <c r="N152" s="663"/>
      <c r="O152" s="663"/>
      <c r="P152" s="663"/>
      <c r="Q152" s="663"/>
      <c r="R152" s="664"/>
    </row>
    <row r="153" spans="2:18" x14ac:dyDescent="0.2">
      <c r="B153" s="662"/>
      <c r="C153" s="663"/>
      <c r="D153" s="663"/>
      <c r="E153" s="663"/>
      <c r="F153" s="663"/>
      <c r="G153" s="663"/>
      <c r="H153" s="663"/>
      <c r="I153" s="663"/>
      <c r="J153" s="663"/>
      <c r="K153" s="663"/>
      <c r="L153" s="663"/>
      <c r="M153" s="663"/>
      <c r="N153" s="663"/>
      <c r="O153" s="663"/>
      <c r="P153" s="663"/>
      <c r="Q153" s="663"/>
      <c r="R153" s="664"/>
    </row>
    <row r="154" spans="2:18" x14ac:dyDescent="0.2">
      <c r="B154" s="662"/>
      <c r="C154" s="663"/>
      <c r="D154" s="663"/>
      <c r="E154" s="663"/>
      <c r="F154" s="663"/>
      <c r="G154" s="663"/>
      <c r="H154" s="663"/>
      <c r="I154" s="663"/>
      <c r="J154" s="663"/>
      <c r="K154" s="663"/>
      <c r="L154" s="663"/>
      <c r="M154" s="663"/>
      <c r="N154" s="663"/>
      <c r="O154" s="663"/>
      <c r="P154" s="663"/>
      <c r="Q154" s="663"/>
      <c r="R154" s="664"/>
    </row>
    <row r="155" spans="2:18" x14ac:dyDescent="0.2">
      <c r="B155" s="662"/>
      <c r="C155" s="663"/>
      <c r="D155" s="663"/>
      <c r="E155" s="663"/>
      <c r="F155" s="663"/>
      <c r="G155" s="663"/>
      <c r="H155" s="663"/>
      <c r="I155" s="663"/>
      <c r="J155" s="663"/>
      <c r="K155" s="663"/>
      <c r="L155" s="663"/>
      <c r="M155" s="663"/>
      <c r="N155" s="663"/>
      <c r="O155" s="663"/>
      <c r="P155" s="663"/>
      <c r="Q155" s="663"/>
      <c r="R155" s="664"/>
    </row>
    <row r="156" spans="2:18" x14ac:dyDescent="0.2">
      <c r="B156" s="662"/>
      <c r="C156" s="663"/>
      <c r="D156" s="663"/>
      <c r="E156" s="663"/>
      <c r="F156" s="663"/>
      <c r="G156" s="663"/>
      <c r="H156" s="663"/>
      <c r="I156" s="663"/>
      <c r="J156" s="663"/>
      <c r="K156" s="663"/>
      <c r="L156" s="663"/>
      <c r="M156" s="663"/>
      <c r="N156" s="663"/>
      <c r="O156" s="663"/>
      <c r="P156" s="663"/>
      <c r="Q156" s="663"/>
      <c r="R156" s="664"/>
    </row>
    <row r="157" spans="2:18" x14ac:dyDescent="0.2">
      <c r="B157" s="662"/>
      <c r="C157" s="663"/>
      <c r="D157" s="663"/>
      <c r="E157" s="663"/>
      <c r="F157" s="663"/>
      <c r="G157" s="663"/>
      <c r="H157" s="663"/>
      <c r="I157" s="663"/>
      <c r="J157" s="663"/>
      <c r="K157" s="663"/>
      <c r="L157" s="663"/>
      <c r="M157" s="663"/>
      <c r="N157" s="663"/>
      <c r="O157" s="663"/>
      <c r="P157" s="663"/>
      <c r="Q157" s="663"/>
      <c r="R157" s="664"/>
    </row>
    <row r="158" spans="2:18" x14ac:dyDescent="0.2">
      <c r="B158" s="662"/>
      <c r="C158" s="663"/>
      <c r="D158" s="663"/>
      <c r="E158" s="663"/>
      <c r="F158" s="663"/>
      <c r="G158" s="663"/>
      <c r="H158" s="663"/>
      <c r="I158" s="663"/>
      <c r="J158" s="663"/>
      <c r="K158" s="663"/>
      <c r="L158" s="663"/>
      <c r="M158" s="663"/>
      <c r="N158" s="663"/>
      <c r="O158" s="663"/>
      <c r="P158" s="663"/>
      <c r="Q158" s="663"/>
      <c r="R158" s="664"/>
    </row>
    <row r="159" spans="2:18" x14ac:dyDescent="0.2">
      <c r="B159" s="662"/>
      <c r="C159" s="663"/>
      <c r="D159" s="663"/>
      <c r="E159" s="663"/>
      <c r="F159" s="663"/>
      <c r="G159" s="663"/>
      <c r="H159" s="663"/>
      <c r="I159" s="663"/>
      <c r="J159" s="663"/>
      <c r="K159" s="663"/>
      <c r="L159" s="663"/>
      <c r="M159" s="663"/>
      <c r="N159" s="663"/>
      <c r="O159" s="663"/>
      <c r="P159" s="663"/>
      <c r="Q159" s="663"/>
      <c r="R159" s="664"/>
    </row>
    <row r="160" spans="2:18" x14ac:dyDescent="0.2">
      <c r="B160" s="662"/>
      <c r="C160" s="663"/>
      <c r="D160" s="663"/>
      <c r="E160" s="663"/>
      <c r="F160" s="663"/>
      <c r="G160" s="663"/>
      <c r="H160" s="663"/>
      <c r="I160" s="663"/>
      <c r="J160" s="663"/>
      <c r="K160" s="663"/>
      <c r="L160" s="663"/>
      <c r="M160" s="663"/>
      <c r="N160" s="663"/>
      <c r="O160" s="663"/>
      <c r="P160" s="663"/>
      <c r="Q160" s="663"/>
      <c r="R160" s="664"/>
    </row>
    <row r="161" spans="2:18" x14ac:dyDescent="0.2">
      <c r="B161" s="662"/>
      <c r="C161" s="663"/>
      <c r="D161" s="663"/>
      <c r="E161" s="663"/>
      <c r="F161" s="663"/>
      <c r="G161" s="663"/>
      <c r="H161" s="663"/>
      <c r="I161" s="663"/>
      <c r="J161" s="663"/>
      <c r="K161" s="663"/>
      <c r="L161" s="663"/>
      <c r="M161" s="663"/>
      <c r="N161" s="663"/>
      <c r="O161" s="663"/>
      <c r="P161" s="663"/>
      <c r="Q161" s="663"/>
      <c r="R161" s="664"/>
    </row>
    <row r="162" spans="2:18" x14ac:dyDescent="0.2">
      <c r="B162" s="662"/>
      <c r="C162" s="663"/>
      <c r="D162" s="663"/>
      <c r="E162" s="663"/>
      <c r="F162" s="663"/>
      <c r="G162" s="663"/>
      <c r="H162" s="663"/>
      <c r="I162" s="663"/>
      <c r="J162" s="663"/>
      <c r="K162" s="663"/>
      <c r="L162" s="663"/>
      <c r="M162" s="663"/>
      <c r="N162" s="663"/>
      <c r="O162" s="663"/>
      <c r="P162" s="663"/>
      <c r="Q162" s="663"/>
      <c r="R162" s="664"/>
    </row>
    <row r="163" spans="2:18" x14ac:dyDescent="0.2">
      <c r="B163" s="662"/>
      <c r="C163" s="663"/>
      <c r="D163" s="663"/>
      <c r="E163" s="663"/>
      <c r="F163" s="663"/>
      <c r="G163" s="663"/>
      <c r="H163" s="663"/>
      <c r="I163" s="663"/>
      <c r="J163" s="663"/>
      <c r="K163" s="663"/>
      <c r="L163" s="663"/>
      <c r="M163" s="663"/>
      <c r="N163" s="663"/>
      <c r="O163" s="663"/>
      <c r="P163" s="663"/>
      <c r="Q163" s="663"/>
      <c r="R163" s="664"/>
    </row>
    <row r="164" spans="2:18" x14ac:dyDescent="0.2">
      <c r="B164" s="662"/>
      <c r="C164" s="663"/>
      <c r="D164" s="663"/>
      <c r="E164" s="663"/>
      <c r="F164" s="663"/>
      <c r="G164" s="663"/>
      <c r="H164" s="663"/>
      <c r="I164" s="663"/>
      <c r="J164" s="663"/>
      <c r="K164" s="663"/>
      <c r="L164" s="663"/>
      <c r="M164" s="663"/>
      <c r="N164" s="663"/>
      <c r="O164" s="663"/>
      <c r="P164" s="663"/>
      <c r="Q164" s="663"/>
      <c r="R164" s="664"/>
    </row>
    <row r="165" spans="2:18" x14ac:dyDescent="0.2">
      <c r="B165" s="662"/>
      <c r="C165" s="663"/>
      <c r="D165" s="663"/>
      <c r="E165" s="663"/>
      <c r="F165" s="663"/>
      <c r="G165" s="663"/>
      <c r="H165" s="663"/>
      <c r="I165" s="663"/>
      <c r="J165" s="663"/>
      <c r="K165" s="663"/>
      <c r="L165" s="663"/>
      <c r="M165" s="663"/>
      <c r="N165" s="663"/>
      <c r="O165" s="663"/>
      <c r="P165" s="663"/>
      <c r="Q165" s="663"/>
      <c r="R165" s="664"/>
    </row>
    <row r="166" spans="2:18" x14ac:dyDescent="0.2">
      <c r="B166" s="662"/>
      <c r="C166" s="663"/>
      <c r="D166" s="663"/>
      <c r="E166" s="663"/>
      <c r="F166" s="663"/>
      <c r="G166" s="663"/>
      <c r="H166" s="663"/>
      <c r="I166" s="663"/>
      <c r="J166" s="663"/>
      <c r="K166" s="663"/>
      <c r="L166" s="663"/>
      <c r="M166" s="663"/>
      <c r="N166" s="663"/>
      <c r="O166" s="663"/>
      <c r="P166" s="663"/>
      <c r="Q166" s="663"/>
      <c r="R166" s="664"/>
    </row>
    <row r="167" spans="2:18" x14ac:dyDescent="0.2">
      <c r="B167" s="662"/>
      <c r="C167" s="663"/>
      <c r="D167" s="663"/>
      <c r="E167" s="663"/>
      <c r="F167" s="663"/>
      <c r="G167" s="663"/>
      <c r="H167" s="663"/>
      <c r="I167" s="663"/>
      <c r="J167" s="663"/>
      <c r="K167" s="663"/>
      <c r="L167" s="663"/>
      <c r="M167" s="663"/>
      <c r="N167" s="663"/>
      <c r="O167" s="663"/>
      <c r="P167" s="663"/>
      <c r="Q167" s="663"/>
      <c r="R167" s="664"/>
    </row>
    <row r="168" spans="2:18" x14ac:dyDescent="0.2">
      <c r="B168" s="662"/>
      <c r="C168" s="663"/>
      <c r="D168" s="663"/>
      <c r="E168" s="663"/>
      <c r="F168" s="663"/>
      <c r="G168" s="663"/>
      <c r="H168" s="663"/>
      <c r="I168" s="663"/>
      <c r="J168" s="663"/>
      <c r="K168" s="663"/>
      <c r="L168" s="663"/>
      <c r="M168" s="663"/>
      <c r="N168" s="663"/>
      <c r="O168" s="663"/>
      <c r="P168" s="663"/>
      <c r="Q168" s="663"/>
      <c r="R168" s="664"/>
    </row>
    <row r="169" spans="2:18" x14ac:dyDescent="0.2">
      <c r="B169" s="662"/>
      <c r="C169" s="663"/>
      <c r="D169" s="663"/>
      <c r="E169" s="663"/>
      <c r="F169" s="663"/>
      <c r="G169" s="663"/>
      <c r="H169" s="663"/>
      <c r="I169" s="663"/>
      <c r="J169" s="663"/>
      <c r="K169" s="663"/>
      <c r="L169" s="663"/>
      <c r="M169" s="663"/>
      <c r="N169" s="663"/>
      <c r="O169" s="663"/>
      <c r="P169" s="663"/>
      <c r="Q169" s="663"/>
      <c r="R169" s="664"/>
    </row>
    <row r="170" spans="2:18" x14ac:dyDescent="0.2">
      <c r="B170" s="662"/>
      <c r="C170" s="663"/>
      <c r="D170" s="663"/>
      <c r="E170" s="663"/>
      <c r="F170" s="663"/>
      <c r="G170" s="663"/>
      <c r="H170" s="663"/>
      <c r="I170" s="663"/>
      <c r="J170" s="663"/>
      <c r="K170" s="663"/>
      <c r="L170" s="663"/>
      <c r="M170" s="663"/>
      <c r="N170" s="663"/>
      <c r="O170" s="663"/>
      <c r="P170" s="663"/>
      <c r="Q170" s="663"/>
      <c r="R170" s="664"/>
    </row>
    <row r="171" spans="2:18" x14ac:dyDescent="0.2">
      <c r="B171" s="662"/>
      <c r="C171" s="663"/>
      <c r="D171" s="663"/>
      <c r="E171" s="663"/>
      <c r="F171" s="663"/>
      <c r="G171" s="663"/>
      <c r="H171" s="663"/>
      <c r="I171" s="663"/>
      <c r="J171" s="663"/>
      <c r="K171" s="663"/>
      <c r="L171" s="663"/>
      <c r="M171" s="663"/>
      <c r="N171" s="663"/>
      <c r="O171" s="663"/>
      <c r="P171" s="663"/>
      <c r="Q171" s="663"/>
      <c r="R171" s="664"/>
    </row>
    <row r="172" spans="2:18" x14ac:dyDescent="0.2">
      <c r="B172" s="662"/>
      <c r="C172" s="663"/>
      <c r="D172" s="663"/>
      <c r="E172" s="663"/>
      <c r="F172" s="663"/>
      <c r="G172" s="663"/>
      <c r="H172" s="663"/>
      <c r="I172" s="663"/>
      <c r="J172" s="663"/>
      <c r="K172" s="663"/>
      <c r="L172" s="663"/>
      <c r="M172" s="663"/>
      <c r="N172" s="663"/>
      <c r="O172" s="663"/>
      <c r="P172" s="663"/>
      <c r="Q172" s="663"/>
      <c r="R172" s="664"/>
    </row>
    <row r="173" spans="2:18" x14ac:dyDescent="0.2">
      <c r="B173" s="662"/>
      <c r="C173" s="663"/>
      <c r="D173" s="663"/>
      <c r="E173" s="663"/>
      <c r="F173" s="663"/>
      <c r="G173" s="663"/>
      <c r="H173" s="663"/>
      <c r="I173" s="663"/>
      <c r="J173" s="663"/>
      <c r="K173" s="663"/>
      <c r="L173" s="663"/>
      <c r="M173" s="663"/>
      <c r="N173" s="663"/>
      <c r="O173" s="663"/>
      <c r="P173" s="663"/>
      <c r="Q173" s="663"/>
      <c r="R173" s="664"/>
    </row>
    <row r="174" spans="2:18" x14ac:dyDescent="0.2">
      <c r="B174" s="662"/>
      <c r="C174" s="663"/>
      <c r="D174" s="663"/>
      <c r="E174" s="663"/>
      <c r="F174" s="663"/>
      <c r="G174" s="663"/>
      <c r="H174" s="663"/>
      <c r="I174" s="663"/>
      <c r="J174" s="663"/>
      <c r="K174" s="663"/>
      <c r="L174" s="663"/>
      <c r="M174" s="663"/>
      <c r="N174" s="663"/>
      <c r="O174" s="663"/>
      <c r="P174" s="663"/>
      <c r="Q174" s="663"/>
      <c r="R174" s="664"/>
    </row>
    <row r="175" spans="2:18" x14ac:dyDescent="0.2">
      <c r="B175" s="662"/>
      <c r="C175" s="663"/>
      <c r="D175" s="663"/>
      <c r="E175" s="663"/>
      <c r="F175" s="663"/>
      <c r="G175" s="663"/>
      <c r="H175" s="663"/>
      <c r="I175" s="663"/>
      <c r="J175" s="663"/>
      <c r="K175" s="663"/>
      <c r="L175" s="663"/>
      <c r="M175" s="663"/>
      <c r="N175" s="663"/>
      <c r="O175" s="663"/>
      <c r="P175" s="663"/>
      <c r="Q175" s="663"/>
      <c r="R175" s="664"/>
    </row>
    <row r="176" spans="2:18" x14ac:dyDescent="0.2">
      <c r="B176" s="662"/>
      <c r="C176" s="663"/>
      <c r="D176" s="663"/>
      <c r="E176" s="663"/>
      <c r="F176" s="663"/>
      <c r="G176" s="663"/>
      <c r="H176" s="663"/>
      <c r="I176" s="663"/>
      <c r="J176" s="663"/>
      <c r="K176" s="663"/>
      <c r="L176" s="663"/>
      <c r="M176" s="663"/>
      <c r="N176" s="663"/>
      <c r="O176" s="663"/>
      <c r="P176" s="663"/>
      <c r="Q176" s="663"/>
      <c r="R176" s="664"/>
    </row>
    <row r="177" spans="2:18" x14ac:dyDescent="0.2">
      <c r="B177" s="662"/>
      <c r="C177" s="663"/>
      <c r="D177" s="663"/>
      <c r="E177" s="663"/>
      <c r="F177" s="663"/>
      <c r="G177" s="663"/>
      <c r="H177" s="663"/>
      <c r="I177" s="663"/>
      <c r="J177" s="663"/>
      <c r="K177" s="663"/>
      <c r="L177" s="663"/>
      <c r="M177" s="663"/>
      <c r="N177" s="663"/>
      <c r="O177" s="663"/>
      <c r="P177" s="663"/>
      <c r="Q177" s="663"/>
      <c r="R177" s="664"/>
    </row>
    <row r="178" spans="2:18" x14ac:dyDescent="0.2">
      <c r="B178" s="662"/>
      <c r="C178" s="663"/>
      <c r="D178" s="663"/>
      <c r="E178" s="663"/>
      <c r="F178" s="663"/>
      <c r="G178" s="663"/>
      <c r="H178" s="663"/>
      <c r="I178" s="663"/>
      <c r="J178" s="663"/>
      <c r="K178" s="663"/>
      <c r="L178" s="663"/>
      <c r="M178" s="663"/>
      <c r="N178" s="663"/>
      <c r="O178" s="663"/>
      <c r="P178" s="663"/>
      <c r="Q178" s="663"/>
      <c r="R178" s="664"/>
    </row>
    <row r="179" spans="2:18" x14ac:dyDescent="0.2">
      <c r="B179" s="662"/>
      <c r="C179" s="663"/>
      <c r="D179" s="663"/>
      <c r="E179" s="663"/>
      <c r="F179" s="663"/>
      <c r="G179" s="663"/>
      <c r="H179" s="663"/>
      <c r="I179" s="663"/>
      <c r="J179" s="663"/>
      <c r="K179" s="663"/>
      <c r="L179" s="663"/>
      <c r="M179" s="663"/>
      <c r="N179" s="663"/>
      <c r="O179" s="663"/>
      <c r="P179" s="663"/>
      <c r="Q179" s="663"/>
      <c r="R179" s="664"/>
    </row>
    <row r="180" spans="2:18" x14ac:dyDescent="0.2">
      <c r="B180" s="662"/>
      <c r="C180" s="663"/>
      <c r="D180" s="663"/>
      <c r="E180" s="663"/>
      <c r="F180" s="663"/>
      <c r="G180" s="663"/>
      <c r="H180" s="663"/>
      <c r="I180" s="663"/>
      <c r="J180" s="663"/>
      <c r="K180" s="663"/>
      <c r="L180" s="663"/>
      <c r="M180" s="663"/>
      <c r="N180" s="663"/>
      <c r="O180" s="663"/>
      <c r="P180" s="663"/>
      <c r="Q180" s="663"/>
      <c r="R180" s="664"/>
    </row>
    <row r="181" spans="2:18" x14ac:dyDescent="0.2">
      <c r="B181" s="662"/>
      <c r="C181" s="663"/>
      <c r="D181" s="663"/>
      <c r="E181" s="663"/>
      <c r="F181" s="663"/>
      <c r="G181" s="663"/>
      <c r="H181" s="663"/>
      <c r="I181" s="663"/>
      <c r="J181" s="663"/>
      <c r="K181" s="663"/>
      <c r="L181" s="663"/>
      <c r="M181" s="663"/>
      <c r="N181" s="663"/>
      <c r="O181" s="663"/>
      <c r="P181" s="663"/>
      <c r="Q181" s="663"/>
      <c r="R181" s="664"/>
    </row>
    <row r="182" spans="2:18" x14ac:dyDescent="0.2">
      <c r="B182" s="662"/>
      <c r="C182" s="663"/>
      <c r="D182" s="663"/>
      <c r="E182" s="663"/>
      <c r="F182" s="663"/>
      <c r="G182" s="663"/>
      <c r="H182" s="663"/>
      <c r="I182" s="663"/>
      <c r="J182" s="663"/>
      <c r="K182" s="663"/>
      <c r="L182" s="663"/>
      <c r="M182" s="663"/>
      <c r="N182" s="663"/>
      <c r="O182" s="663"/>
      <c r="P182" s="663"/>
      <c r="Q182" s="663"/>
      <c r="R182" s="664"/>
    </row>
    <row r="183" spans="2:18" x14ac:dyDescent="0.2">
      <c r="B183" s="662"/>
      <c r="C183" s="663"/>
      <c r="D183" s="663"/>
      <c r="E183" s="663"/>
      <c r="F183" s="663"/>
      <c r="G183" s="663"/>
      <c r="H183" s="663"/>
      <c r="I183" s="663"/>
      <c r="J183" s="663"/>
      <c r="K183" s="663"/>
      <c r="L183" s="663"/>
      <c r="M183" s="663"/>
      <c r="N183" s="663"/>
      <c r="O183" s="663"/>
      <c r="P183" s="663"/>
      <c r="Q183" s="663"/>
      <c r="R183" s="664"/>
    </row>
    <row r="184" spans="2:18" x14ac:dyDescent="0.2">
      <c r="B184" s="662"/>
      <c r="C184" s="663"/>
      <c r="D184" s="663"/>
      <c r="E184" s="663"/>
      <c r="F184" s="663"/>
      <c r="G184" s="663"/>
      <c r="H184" s="663"/>
      <c r="I184" s="663"/>
      <c r="J184" s="663"/>
      <c r="K184" s="663"/>
      <c r="L184" s="663"/>
      <c r="M184" s="663"/>
      <c r="N184" s="663"/>
      <c r="O184" s="663"/>
      <c r="P184" s="663"/>
      <c r="Q184" s="663"/>
      <c r="R184" s="664"/>
    </row>
    <row r="185" spans="2:18" x14ac:dyDescent="0.2">
      <c r="B185" s="669"/>
      <c r="C185" s="670"/>
      <c r="D185" s="670"/>
      <c r="E185" s="670"/>
      <c r="F185" s="670"/>
      <c r="G185" s="670"/>
      <c r="H185" s="670"/>
      <c r="I185" s="670"/>
      <c r="J185" s="670"/>
      <c r="K185" s="670"/>
      <c r="L185" s="670"/>
      <c r="M185" s="670"/>
      <c r="N185" s="670"/>
      <c r="O185" s="670"/>
      <c r="P185" s="670"/>
      <c r="Q185" s="787" t="s">
        <v>378</v>
      </c>
      <c r="R185" s="671"/>
    </row>
    <row r="262" spans="2:3" ht="18.75" x14ac:dyDescent="0.3">
      <c r="B262" s="672"/>
      <c r="C262" s="672"/>
    </row>
  </sheetData>
  <sheetProtection algorithmName="SHA-512" hashValue="WI3wG67MzHbsLjBQeeg0YoXBrYhdqUiZxuoqP6YnoVEFryphOLiuOJkvr41gdfOoUMzkXPTILNuthA+JvZ7mxQ==" saltValue="y5Fn7a5yJXaKdcyDTKc/Hw==" spinCount="100000" sheet="1" objects="1" scenarios="1"/>
  <hyperlinks>
    <hyperlink ref="Q95" r:id="rId1" xr:uid="{00000000-0004-0000-0F00-000000000000}"/>
    <hyperlink ref="Q185" r:id="rId2" xr:uid="{00000000-0004-0000-0F00-000001000000}"/>
  </hyperlinks>
  <pageMargins left="0.75" right="0.75" top="1" bottom="1" header="0.5" footer="0.5"/>
  <pageSetup paperSize="9" scale="58" orientation="portrait" r:id="rId3"/>
  <headerFooter alignWithMargins="0">
    <oddHeader>&amp;L&amp;"Arial,Vet"&amp;9&amp;F&amp;R&amp;"Arial,Vet"&amp;9&amp;A</oddHeader>
    <oddFooter>&amp;L&amp;"Arial,Vet"&amp;9be.keizer@wxs.nl&amp;C&amp;"Arial,Vet"&amp;9pagina &amp;P&amp;R&amp;"Arial,Vet"&amp;9&amp;D</oddFooter>
  </headerFooter>
  <rowBreaks count="1" manualBreakCount="1">
    <brk id="95" min="1" max="17" man="1"/>
  </rowBreaks>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84"/>
  <sheetViews>
    <sheetView zoomScale="80" zoomScaleNormal="80" zoomScalePageLayoutView="85" workbookViewId="0"/>
  </sheetViews>
  <sheetFormatPr defaultRowHeight="12.75" x14ac:dyDescent="0.2"/>
  <cols>
    <col min="1" max="1" width="44.5703125" style="820" customWidth="1"/>
    <col min="2" max="2" width="3.42578125" style="820" customWidth="1"/>
    <col min="3" max="5" width="14.85546875" style="820" customWidth="1"/>
    <col min="6" max="6" width="16.28515625" style="820" customWidth="1"/>
    <col min="7" max="8" width="15.5703125" style="820" customWidth="1"/>
    <col min="9" max="9" width="15.7109375" style="820" customWidth="1"/>
    <col min="10" max="10" width="15.42578125" style="820" customWidth="1"/>
    <col min="11" max="11" width="14.85546875" style="820" customWidth="1"/>
    <col min="12" max="12" width="15.140625" style="820" customWidth="1"/>
    <col min="13" max="14" width="14.85546875" style="820" customWidth="1"/>
    <col min="15" max="15" width="16.140625" style="820" customWidth="1"/>
    <col min="16" max="36" width="14.85546875" style="820" customWidth="1"/>
    <col min="37" max="16384" width="9.140625" style="820"/>
  </cols>
  <sheetData>
    <row r="1" spans="1:13" x14ac:dyDescent="0.2">
      <c r="A1" s="820" t="s">
        <v>15</v>
      </c>
      <c r="B1" s="1152"/>
    </row>
    <row r="2" spans="1:13" x14ac:dyDescent="0.2">
      <c r="A2" s="1152" t="s">
        <v>119</v>
      </c>
      <c r="B2" s="1153"/>
      <c r="C2" s="1152"/>
      <c r="D2" s="1152" t="s">
        <v>279</v>
      </c>
      <c r="E2" s="1152" t="s">
        <v>280</v>
      </c>
      <c r="F2" s="1152" t="s">
        <v>281</v>
      </c>
      <c r="G2" s="1152" t="s">
        <v>16</v>
      </c>
      <c r="H2" s="1152" t="s">
        <v>102</v>
      </c>
      <c r="I2" s="1152" t="s">
        <v>647</v>
      </c>
      <c r="J2" s="1152" t="s">
        <v>683</v>
      </c>
      <c r="K2" s="1152" t="s">
        <v>787</v>
      </c>
      <c r="L2" s="1152" t="s">
        <v>854</v>
      </c>
      <c r="M2" s="1152" t="s">
        <v>893</v>
      </c>
    </row>
    <row r="3" spans="1:13" x14ac:dyDescent="0.2">
      <c r="A3" s="1152" t="s">
        <v>161</v>
      </c>
      <c r="B3" s="1154">
        <v>40452</v>
      </c>
      <c r="C3" s="1155"/>
      <c r="D3" s="1155">
        <v>42644</v>
      </c>
      <c r="E3" s="1155">
        <v>43009</v>
      </c>
      <c r="F3" s="1155">
        <v>43374</v>
      </c>
      <c r="G3" s="1155">
        <v>43739</v>
      </c>
      <c r="H3" s="1155">
        <v>44105</v>
      </c>
      <c r="I3" s="1155">
        <v>44470</v>
      </c>
      <c r="J3" s="1155">
        <v>44835</v>
      </c>
      <c r="K3" s="1155">
        <v>45200</v>
      </c>
      <c r="L3" s="1155">
        <v>45566</v>
      </c>
      <c r="M3" s="1155">
        <v>45931</v>
      </c>
    </row>
    <row r="4" spans="1:13" s="1158" customFormat="1" x14ac:dyDescent="0.2">
      <c r="A4" s="1156" t="s">
        <v>137</v>
      </c>
      <c r="B4" s="1157">
        <v>2011</v>
      </c>
      <c r="C4" s="1156"/>
      <c r="D4" s="1156">
        <v>2017</v>
      </c>
      <c r="E4" s="1156">
        <f t="shared" ref="E4:M4" si="0">D4+1</f>
        <v>2018</v>
      </c>
      <c r="F4" s="1156">
        <f t="shared" si="0"/>
        <v>2019</v>
      </c>
      <c r="G4" s="1156">
        <f t="shared" si="0"/>
        <v>2020</v>
      </c>
      <c r="H4" s="1156">
        <f t="shared" si="0"/>
        <v>2021</v>
      </c>
      <c r="I4" s="1156">
        <f t="shared" si="0"/>
        <v>2022</v>
      </c>
      <c r="J4" s="1156">
        <f t="shared" si="0"/>
        <v>2023</v>
      </c>
      <c r="K4" s="1156">
        <f t="shared" si="0"/>
        <v>2024</v>
      </c>
      <c r="L4" s="1156">
        <f t="shared" si="0"/>
        <v>2025</v>
      </c>
      <c r="M4" s="1156">
        <f t="shared" si="0"/>
        <v>2026</v>
      </c>
    </row>
    <row r="6" spans="1:13" ht="15" x14ac:dyDescent="0.25">
      <c r="A6" s="1159" t="s">
        <v>354</v>
      </c>
      <c r="B6" s="1152"/>
      <c r="C6" s="1152"/>
      <c r="D6" s="1353">
        <f t="shared" ref="D6:K6" si="1">E4</f>
        <v>2018</v>
      </c>
      <c r="E6" s="1353">
        <f t="shared" si="1"/>
        <v>2019</v>
      </c>
      <c r="F6" s="1353">
        <f t="shared" si="1"/>
        <v>2020</v>
      </c>
      <c r="G6" s="1353">
        <f t="shared" si="1"/>
        <v>2021</v>
      </c>
      <c r="H6" s="1353">
        <f t="shared" si="1"/>
        <v>2022</v>
      </c>
      <c r="I6" s="1353">
        <f t="shared" si="1"/>
        <v>2023</v>
      </c>
      <c r="J6" s="1353">
        <f t="shared" si="1"/>
        <v>2024</v>
      </c>
      <c r="K6" s="1353">
        <f t="shared" si="1"/>
        <v>2025</v>
      </c>
    </row>
    <row r="7" spans="1:13" x14ac:dyDescent="0.2">
      <c r="A7" s="1162" t="s">
        <v>713</v>
      </c>
      <c r="B7" s="1152"/>
      <c r="C7" s="1163"/>
      <c r="D7" s="1164">
        <v>81</v>
      </c>
      <c r="E7" s="1164">
        <v>83.5</v>
      </c>
      <c r="F7" s="1164">
        <v>87.68</v>
      </c>
      <c r="G7" s="1164">
        <v>90.15</v>
      </c>
      <c r="H7" s="1164">
        <f t="shared" ref="H7:K8" si="2">+G7</f>
        <v>90.15</v>
      </c>
      <c r="I7" s="1164">
        <f t="shared" si="2"/>
        <v>90.15</v>
      </c>
      <c r="J7" s="1164">
        <f t="shared" si="2"/>
        <v>90.15</v>
      </c>
      <c r="K7" s="1164">
        <f t="shared" si="2"/>
        <v>90.15</v>
      </c>
    </row>
    <row r="8" spans="1:13" x14ac:dyDescent="0.2">
      <c r="A8" s="1162" t="s">
        <v>744</v>
      </c>
      <c r="B8" s="1152"/>
      <c r="C8" s="1163"/>
      <c r="D8" s="1164">
        <v>14.5</v>
      </c>
      <c r="E8" s="1164">
        <f>D8</f>
        <v>14.5</v>
      </c>
      <c r="F8" s="1164">
        <v>14.87</v>
      </c>
      <c r="G8" s="1164">
        <v>15.21</v>
      </c>
      <c r="H8" s="1164">
        <f t="shared" si="2"/>
        <v>15.21</v>
      </c>
      <c r="I8" s="1164">
        <f t="shared" si="2"/>
        <v>15.21</v>
      </c>
      <c r="J8" s="1164">
        <f t="shared" si="2"/>
        <v>15.21</v>
      </c>
      <c r="K8" s="1164">
        <f t="shared" si="2"/>
        <v>15.21</v>
      </c>
    </row>
    <row r="9" spans="1:13" x14ac:dyDescent="0.2">
      <c r="A9" s="1162"/>
      <c r="B9" s="1152"/>
      <c r="C9" s="1163"/>
      <c r="D9" s="821"/>
      <c r="E9" s="821"/>
      <c r="F9" s="821"/>
      <c r="G9" s="821"/>
      <c r="H9" s="821"/>
      <c r="I9" s="821"/>
      <c r="J9" s="821"/>
      <c r="K9" s="821"/>
    </row>
    <row r="10" spans="1:13" x14ac:dyDescent="0.2">
      <c r="A10" s="1162" t="s">
        <v>714</v>
      </c>
      <c r="B10" s="1152"/>
      <c r="C10" s="1163"/>
      <c r="D10" s="1165">
        <v>4324.05</v>
      </c>
      <c r="E10" s="1165">
        <v>4459.3900000000003</v>
      </c>
      <c r="F10" s="1165">
        <v>4682.8100000000004</v>
      </c>
      <c r="G10" s="1165">
        <v>4814.87</v>
      </c>
      <c r="H10" s="1165">
        <f t="shared" ref="E10:K11" si="3">+G10</f>
        <v>4814.87</v>
      </c>
      <c r="I10" s="1165">
        <f t="shared" si="3"/>
        <v>4814.87</v>
      </c>
      <c r="J10" s="1165">
        <f t="shared" si="3"/>
        <v>4814.87</v>
      </c>
      <c r="K10" s="1165">
        <f t="shared" si="3"/>
        <v>4814.87</v>
      </c>
    </row>
    <row r="11" spans="1:13" x14ac:dyDescent="0.2">
      <c r="A11" s="1162" t="s">
        <v>715</v>
      </c>
      <c r="B11" s="1152"/>
      <c r="C11" s="1163"/>
      <c r="D11" s="1165">
        <v>181.49</v>
      </c>
      <c r="E11" s="1165">
        <f t="shared" si="3"/>
        <v>181.49</v>
      </c>
      <c r="F11" s="1165">
        <v>186.1</v>
      </c>
      <c r="G11" s="1165">
        <v>190.4</v>
      </c>
      <c r="H11" s="1165">
        <f t="shared" si="3"/>
        <v>190.4</v>
      </c>
      <c r="I11" s="1165">
        <f t="shared" si="3"/>
        <v>190.4</v>
      </c>
      <c r="J11" s="1165">
        <f t="shared" si="3"/>
        <v>190.4</v>
      </c>
      <c r="K11" s="1165">
        <f t="shared" si="3"/>
        <v>190.4</v>
      </c>
    </row>
    <row r="12" spans="1:13" x14ac:dyDescent="0.2">
      <c r="A12" s="1166"/>
      <c r="B12" s="1152"/>
      <c r="D12" s="1161"/>
      <c r="E12" s="1161"/>
      <c r="F12" s="1161"/>
      <c r="G12" s="1161"/>
      <c r="H12" s="1161"/>
      <c r="I12" s="1161"/>
    </row>
    <row r="13" spans="1:13" hidden="1" x14ac:dyDescent="0.2">
      <c r="A13" s="1162"/>
      <c r="B13" s="1152"/>
      <c r="C13" s="1163"/>
      <c r="D13" s="1161" t="s">
        <v>595</v>
      </c>
      <c r="E13" s="1161"/>
      <c r="F13" s="1161"/>
      <c r="G13" s="1161"/>
      <c r="H13" s="1161"/>
      <c r="I13" s="1161"/>
      <c r="J13" s="1161"/>
      <c r="K13" s="1161"/>
    </row>
    <row r="14" spans="1:13" hidden="1" x14ac:dyDescent="0.2">
      <c r="A14" s="1167" t="s">
        <v>510</v>
      </c>
      <c r="B14" s="1152"/>
      <c r="C14" s="1168">
        <f>ROUND((1/8.87-1/17.14),9)</f>
        <v>5.4396514E-2</v>
      </c>
      <c r="D14" s="1169" t="e">
        <f>+C14*#REF!*(1-D$18)</f>
        <v>#REF!</v>
      </c>
      <c r="E14" s="1170" t="s">
        <v>620</v>
      </c>
      <c r="F14" s="1161"/>
      <c r="G14" s="1161"/>
      <c r="H14" s="1161"/>
      <c r="I14" s="1152"/>
    </row>
    <row r="15" spans="1:13" hidden="1" x14ac:dyDescent="0.2">
      <c r="A15" s="1167" t="s">
        <v>511</v>
      </c>
      <c r="B15" s="1152"/>
      <c r="C15" s="1168">
        <f>ROUND((1/8.87-1/17.14),9)</f>
        <v>5.4396514E-2</v>
      </c>
      <c r="D15" s="1169">
        <v>0</v>
      </c>
      <c r="E15" s="1170" t="s">
        <v>620</v>
      </c>
      <c r="F15" s="1161"/>
      <c r="G15" s="1161"/>
      <c r="H15" s="1161"/>
      <c r="I15" s="1152"/>
    </row>
    <row r="16" spans="1:13" hidden="1" x14ac:dyDescent="0.2">
      <c r="A16" s="1167" t="s">
        <v>512</v>
      </c>
      <c r="B16" s="1152"/>
      <c r="C16" s="1168">
        <f>ROUND((1/8.87-1/17.14),9)</f>
        <v>5.4396514E-2</v>
      </c>
      <c r="D16" s="1169" t="e">
        <f>+C16*#REF!*(1-D$18)+0.01</f>
        <v>#REF!</v>
      </c>
      <c r="E16" s="1170" t="s">
        <v>620</v>
      </c>
      <c r="F16" s="1161"/>
      <c r="G16" s="1161"/>
      <c r="H16" s="1161"/>
      <c r="I16" s="1152"/>
    </row>
    <row r="17" spans="1:44" hidden="1" x14ac:dyDescent="0.2">
      <c r="A17" s="1167" t="s">
        <v>513</v>
      </c>
      <c r="B17" s="1152"/>
      <c r="C17" s="1168">
        <f>ROUND((1/8.87-1/17.14),9)</f>
        <v>5.4396514E-2</v>
      </c>
      <c r="D17" s="1169" t="e">
        <f>+C17*#REF!*(1-D$18)+0.01</f>
        <v>#REF!</v>
      </c>
      <c r="E17" s="1170" t="s">
        <v>620</v>
      </c>
      <c r="F17" s="1161"/>
      <c r="G17" s="1161"/>
      <c r="H17" s="1161"/>
      <c r="I17" s="1152"/>
    </row>
    <row r="18" spans="1:44" s="821" customFormat="1" hidden="1" x14ac:dyDescent="0.2">
      <c r="D18" s="1055">
        <v>2.8596E-2</v>
      </c>
    </row>
    <row r="19" spans="1:44" s="821" customFormat="1" hidden="1" x14ac:dyDescent="0.2">
      <c r="D19" s="1054"/>
    </row>
    <row r="20" spans="1:44" x14ac:dyDescent="0.2">
      <c r="A20" s="1162" t="s">
        <v>716</v>
      </c>
      <c r="B20" s="1152"/>
      <c r="C20" s="1152"/>
      <c r="D20" s="1161">
        <f>D10</f>
        <v>4324.05</v>
      </c>
      <c r="E20" s="1169">
        <f>E10</f>
        <v>4459.3900000000003</v>
      </c>
      <c r="F20" s="1169">
        <v>4682.8100000000004</v>
      </c>
      <c r="G20" s="1169">
        <f>G10</f>
        <v>4814.87</v>
      </c>
      <c r="H20" s="1169">
        <f t="shared" ref="E20:K21" si="4">+G20</f>
        <v>4814.87</v>
      </c>
      <c r="I20" s="1169">
        <f t="shared" si="4"/>
        <v>4814.87</v>
      </c>
      <c r="J20" s="1169">
        <f t="shared" si="4"/>
        <v>4814.87</v>
      </c>
      <c r="K20" s="1169">
        <f t="shared" si="4"/>
        <v>4814.87</v>
      </c>
    </row>
    <row r="21" spans="1:44" x14ac:dyDescent="0.2">
      <c r="A21" s="1162" t="s">
        <v>717</v>
      </c>
      <c r="B21" s="1152"/>
      <c r="C21" s="1152"/>
      <c r="D21" s="1161">
        <f>D11</f>
        <v>181.49</v>
      </c>
      <c r="E21" s="1169">
        <f t="shared" si="4"/>
        <v>181.49</v>
      </c>
      <c r="F21" s="1169">
        <v>186.1</v>
      </c>
      <c r="G21" s="1169">
        <f>G11</f>
        <v>190.4</v>
      </c>
      <c r="H21" s="1169">
        <f t="shared" si="4"/>
        <v>190.4</v>
      </c>
      <c r="I21" s="1169">
        <f t="shared" si="4"/>
        <v>190.4</v>
      </c>
      <c r="J21" s="1169">
        <f t="shared" si="4"/>
        <v>190.4</v>
      </c>
      <c r="K21" s="1169">
        <f t="shared" si="4"/>
        <v>190.4</v>
      </c>
    </row>
    <row r="22" spans="1:44" x14ac:dyDescent="0.2">
      <c r="A22" s="1166"/>
      <c r="B22" s="1152"/>
      <c r="C22" s="1152"/>
      <c r="D22" s="1249">
        <f t="shared" ref="D22:I22" si="5">SUM(D20:D21)</f>
        <v>4505.54</v>
      </c>
      <c r="E22" s="1249">
        <f t="shared" si="5"/>
        <v>4640.88</v>
      </c>
      <c r="F22" s="1249">
        <f t="shared" si="5"/>
        <v>4868.9100000000008</v>
      </c>
      <c r="G22" s="1249">
        <f t="shared" si="5"/>
        <v>5005.2699999999995</v>
      </c>
      <c r="H22" s="1249">
        <f t="shared" si="5"/>
        <v>5005.2699999999995</v>
      </c>
      <c r="I22" s="1249">
        <f t="shared" si="5"/>
        <v>5005.2699999999995</v>
      </c>
      <c r="J22" s="1249">
        <f>SUM(J20:J21)</f>
        <v>5005.2699999999995</v>
      </c>
      <c r="K22" s="1249">
        <f>SUM(K20:K21)</f>
        <v>5005.2699999999995</v>
      </c>
    </row>
    <row r="24" spans="1:44" ht="15" x14ac:dyDescent="0.25">
      <c r="A24" s="1159" t="s">
        <v>250</v>
      </c>
      <c r="K24" s="1217"/>
      <c r="L24" s="1218"/>
      <c r="M24" s="1219"/>
      <c r="U24" s="1173"/>
      <c r="V24" s="1173"/>
      <c r="W24" s="1173"/>
      <c r="X24" s="1173"/>
      <c r="Y24" s="1173"/>
      <c r="Z24" s="1173"/>
      <c r="AA24" s="1173"/>
      <c r="AB24" s="1173"/>
      <c r="AC24" s="1173"/>
      <c r="AD24" s="1173"/>
      <c r="AE24" s="1173"/>
      <c r="AF24" s="1173"/>
      <c r="AG24" s="1173"/>
      <c r="AH24" s="1173"/>
      <c r="AI24" s="1173"/>
      <c r="AJ24" s="1173"/>
      <c r="AK24" s="1173"/>
      <c r="AL24" s="1173"/>
      <c r="AM24" s="1173"/>
      <c r="AN24" s="1173"/>
      <c r="AO24" s="1173"/>
      <c r="AP24" s="1173"/>
      <c r="AQ24" s="1173"/>
      <c r="AR24" s="1173"/>
    </row>
    <row r="25" spans="1:44" x14ac:dyDescent="0.2">
      <c r="A25" s="1172" t="s">
        <v>345</v>
      </c>
      <c r="C25" s="820" t="s">
        <v>0</v>
      </c>
      <c r="D25" s="1171" t="str">
        <f t="shared" ref="D25:K25" si="6">+E2</f>
        <v>2018/19</v>
      </c>
      <c r="E25" s="1171" t="str">
        <f t="shared" si="6"/>
        <v>2019/20</v>
      </c>
      <c r="F25" s="1171" t="str">
        <f t="shared" si="6"/>
        <v>2020/21</v>
      </c>
      <c r="G25" s="1171" t="str">
        <f t="shared" si="6"/>
        <v>2021/22</v>
      </c>
      <c r="H25" s="1171" t="str">
        <f t="shared" si="6"/>
        <v>2022/23</v>
      </c>
      <c r="I25" s="1171" t="str">
        <f t="shared" si="6"/>
        <v>2023/24</v>
      </c>
      <c r="J25" s="1171" t="str">
        <f t="shared" si="6"/>
        <v>2024/25</v>
      </c>
      <c r="K25" s="1171" t="str">
        <f t="shared" si="6"/>
        <v>2025/26</v>
      </c>
      <c r="L25" s="1220"/>
      <c r="S25" s="1173"/>
      <c r="T25" s="1173"/>
      <c r="U25" s="1173"/>
      <c r="V25" s="1173"/>
      <c r="W25" s="1173"/>
      <c r="X25" s="1173"/>
      <c r="Y25" s="1173"/>
      <c r="Z25" s="1173"/>
      <c r="AA25" s="1173"/>
      <c r="AB25" s="1173"/>
      <c r="AC25" s="1173"/>
      <c r="AD25" s="1173"/>
      <c r="AE25" s="1173"/>
      <c r="AF25" s="1173"/>
      <c r="AG25" s="1173"/>
      <c r="AH25" s="1173"/>
      <c r="AI25" s="1173"/>
      <c r="AJ25" s="1173"/>
      <c r="AK25" s="1173"/>
      <c r="AL25" s="1173"/>
      <c r="AM25" s="1173"/>
      <c r="AN25" s="1173"/>
      <c r="AO25" s="1173"/>
      <c r="AP25" s="1173"/>
    </row>
    <row r="26" spans="1:44" s="1172" customFormat="1" x14ac:dyDescent="0.2">
      <c r="A26" s="1172" t="s">
        <v>376</v>
      </c>
      <c r="C26" s="1174">
        <v>7.9299999999999995E-3</v>
      </c>
      <c r="D26" s="1245">
        <v>586.49</v>
      </c>
      <c r="E26" s="1245">
        <v>607.4</v>
      </c>
      <c r="F26" s="1245">
        <v>626.57000000000005</v>
      </c>
      <c r="G26" s="1245">
        <v>648.67999999999995</v>
      </c>
      <c r="H26" s="1245">
        <f>G26</f>
        <v>648.67999999999995</v>
      </c>
      <c r="I26" s="1245">
        <f>H26</f>
        <v>648.67999999999995</v>
      </c>
      <c r="J26" s="1245">
        <f>I26</f>
        <v>648.67999999999995</v>
      </c>
      <c r="K26" s="1245">
        <f>J26</f>
        <v>648.67999999999995</v>
      </c>
      <c r="L26" s="1221"/>
      <c r="R26" s="1246"/>
      <c r="S26" s="1246"/>
      <c r="T26" s="1246"/>
      <c r="U26" s="1246"/>
      <c r="V26" s="1246"/>
      <c r="W26" s="1246"/>
      <c r="X26" s="1246"/>
      <c r="Y26" s="1246"/>
      <c r="Z26" s="1246"/>
      <c r="AA26" s="1246"/>
      <c r="AB26" s="1246"/>
      <c r="AC26" s="1246"/>
      <c r="AD26" s="1246"/>
      <c r="AE26" s="1246"/>
      <c r="AF26" s="1246"/>
      <c r="AG26" s="1246"/>
      <c r="AH26" s="1246"/>
      <c r="AI26" s="1246"/>
      <c r="AJ26" s="1246"/>
      <c r="AK26" s="1246"/>
      <c r="AL26" s="1246"/>
      <c r="AM26" s="1246"/>
      <c r="AN26" s="1246"/>
      <c r="AO26" s="1246"/>
    </row>
    <row r="27" spans="1:44" x14ac:dyDescent="0.2">
      <c r="B27" s="1505"/>
      <c r="C27" s="1506">
        <f>D26-D27</f>
        <v>11.309257500000058</v>
      </c>
      <c r="D27" s="1453">
        <f>$C26*$E56</f>
        <v>575.18074249999995</v>
      </c>
      <c r="E27" s="1453">
        <f>$C26*$F56</f>
        <v>595.68589859999997</v>
      </c>
      <c r="F27" s="1453">
        <f>$C26*$G56</f>
        <v>614.48570819999998</v>
      </c>
      <c r="G27" s="1453">
        <f>$C26*$G56</f>
        <v>614.48570819999998</v>
      </c>
      <c r="H27" s="1453">
        <f t="shared" ref="H27:K27" si="7">$C26*$G56</f>
        <v>614.48570819999998</v>
      </c>
      <c r="I27" s="1453">
        <f t="shared" si="7"/>
        <v>614.48570819999998</v>
      </c>
      <c r="J27" s="1453">
        <f t="shared" si="7"/>
        <v>614.48570819999998</v>
      </c>
      <c r="K27" s="1453">
        <f t="shared" si="7"/>
        <v>614.48570819999998</v>
      </c>
      <c r="O27" s="1173"/>
      <c r="P27" s="1173"/>
      <c r="Q27" s="1173"/>
      <c r="R27" s="1173"/>
      <c r="S27" s="1173"/>
      <c r="T27" s="1173"/>
      <c r="U27" s="1173"/>
      <c r="V27" s="1173"/>
      <c r="W27" s="1173"/>
      <c r="X27" s="1173"/>
      <c r="Y27" s="1173"/>
      <c r="Z27" s="1173"/>
      <c r="AA27" s="1173"/>
      <c r="AB27" s="1173"/>
      <c r="AC27" s="1173"/>
      <c r="AD27" s="1173"/>
      <c r="AE27" s="1173"/>
      <c r="AF27" s="1173"/>
      <c r="AG27" s="1173"/>
      <c r="AH27" s="1173"/>
      <c r="AI27" s="1173"/>
      <c r="AJ27" s="1173"/>
      <c r="AK27" s="1173"/>
      <c r="AL27" s="1173"/>
    </row>
    <row r="28" spans="1:44" x14ac:dyDescent="0.2">
      <c r="B28" s="1505"/>
      <c r="C28" s="1506" t="s">
        <v>827</v>
      </c>
      <c r="D28" s="1453">
        <f>D26-D27</f>
        <v>11.309257500000058</v>
      </c>
      <c r="E28" s="1453">
        <f t="shared" ref="E28:F28" si="8">E26-E27</f>
        <v>11.714101400000004</v>
      </c>
      <c r="F28" s="1453">
        <f t="shared" si="8"/>
        <v>12.084291800000074</v>
      </c>
      <c r="G28" s="1453">
        <f t="shared" ref="G28" si="9">G26-G27</f>
        <v>34.194291799999974</v>
      </c>
      <c r="H28" s="1453">
        <f t="shared" ref="H28" si="10">H26-H27</f>
        <v>34.194291799999974</v>
      </c>
      <c r="I28" s="1453">
        <f t="shared" ref="I28" si="11">I26-I27</f>
        <v>34.194291799999974</v>
      </c>
      <c r="J28" s="1453">
        <f t="shared" ref="J28" si="12">J26-J27</f>
        <v>34.194291799999974</v>
      </c>
      <c r="K28" s="1453">
        <f t="shared" ref="K28" si="13">K26-K27</f>
        <v>34.194291799999974</v>
      </c>
      <c r="O28" s="1173"/>
      <c r="P28" s="1173"/>
      <c r="Q28" s="1173"/>
      <c r="R28" s="1173"/>
      <c r="S28" s="1173"/>
      <c r="T28" s="1173"/>
      <c r="U28" s="1173"/>
      <c r="V28" s="1173"/>
      <c r="W28" s="1173"/>
      <c r="X28" s="1173"/>
      <c r="Y28" s="1173"/>
      <c r="Z28" s="1173"/>
      <c r="AA28" s="1173"/>
      <c r="AB28" s="1173"/>
      <c r="AC28" s="1173"/>
      <c r="AD28" s="1173"/>
      <c r="AE28" s="1173"/>
      <c r="AF28" s="1173"/>
      <c r="AG28" s="1173"/>
      <c r="AH28" s="1173"/>
      <c r="AI28" s="1173"/>
      <c r="AJ28" s="1173"/>
      <c r="AK28" s="1173"/>
      <c r="AL28" s="1173"/>
    </row>
    <row r="29" spans="1:44" x14ac:dyDescent="0.2">
      <c r="A29" s="1172" t="s">
        <v>346</v>
      </c>
      <c r="D29" s="1175">
        <f t="shared" ref="D29:K29" si="14">+E4</f>
        <v>2018</v>
      </c>
      <c r="E29" s="1175">
        <f t="shared" si="14"/>
        <v>2019</v>
      </c>
      <c r="F29" s="1175">
        <f t="shared" si="14"/>
        <v>2020</v>
      </c>
      <c r="G29" s="1175">
        <f t="shared" si="14"/>
        <v>2021</v>
      </c>
      <c r="H29" s="1175">
        <f t="shared" si="14"/>
        <v>2022</v>
      </c>
      <c r="I29" s="1175">
        <f t="shared" si="14"/>
        <v>2023</v>
      </c>
      <c r="J29" s="1175">
        <f t="shared" si="14"/>
        <v>2024</v>
      </c>
      <c r="K29" s="1175">
        <f t="shared" si="14"/>
        <v>2025</v>
      </c>
      <c r="O29" s="1173"/>
      <c r="P29" s="1173"/>
      <c r="Q29" s="1173"/>
      <c r="R29" s="1173"/>
      <c r="S29" s="1173"/>
      <c r="T29" s="1173"/>
      <c r="U29" s="1173"/>
      <c r="V29" s="1173"/>
      <c r="W29" s="1173"/>
      <c r="X29" s="1173"/>
      <c r="Y29" s="1173"/>
      <c r="Z29" s="1173"/>
      <c r="AA29" s="1173"/>
      <c r="AB29" s="1173"/>
      <c r="AC29" s="1173"/>
      <c r="AD29" s="1173"/>
      <c r="AE29" s="1173"/>
      <c r="AF29" s="1173"/>
      <c r="AG29" s="1173"/>
      <c r="AH29" s="1173"/>
      <c r="AI29" s="1173"/>
      <c r="AJ29" s="1173"/>
      <c r="AK29" s="1173"/>
      <c r="AL29" s="1173"/>
      <c r="AM29" s="1152"/>
      <c r="AN29" s="1152"/>
      <c r="AO29" s="1152"/>
      <c r="AP29" s="1152"/>
      <c r="AQ29" s="1152"/>
    </row>
    <row r="30" spans="1:44" s="1172" customFormat="1" x14ac:dyDescent="0.2">
      <c r="A30" s="1172" t="s">
        <v>376</v>
      </c>
      <c r="D30" s="1176">
        <v>29.13</v>
      </c>
      <c r="E30" s="1452">
        <f>ROUND(D30*(1+1.5%),2)</f>
        <v>29.57</v>
      </c>
      <c r="F30" s="1452">
        <f>ROUND(E30*(1+1.6%),2)</f>
        <v>30.04</v>
      </c>
      <c r="G30" s="1452">
        <v>30.4</v>
      </c>
      <c r="H30" s="1452">
        <f t="shared" ref="H30:K30" si="15">ROUND($F30*(1+1.2%),2)</f>
        <v>30.4</v>
      </c>
      <c r="I30" s="1452">
        <f t="shared" si="15"/>
        <v>30.4</v>
      </c>
      <c r="J30" s="1452">
        <f t="shared" si="15"/>
        <v>30.4</v>
      </c>
      <c r="K30" s="1452">
        <f t="shared" si="15"/>
        <v>30.4</v>
      </c>
      <c r="O30" s="1246"/>
      <c r="P30" s="1246"/>
      <c r="Q30" s="1246"/>
      <c r="R30" s="1246"/>
      <c r="S30" s="1246"/>
      <c r="T30" s="1246"/>
      <c r="U30" s="1246"/>
      <c r="V30" s="1246"/>
      <c r="W30" s="1246"/>
      <c r="X30" s="1246"/>
      <c r="Y30" s="1246"/>
      <c r="Z30" s="1246"/>
      <c r="AA30" s="1246"/>
      <c r="AB30" s="1246"/>
      <c r="AC30" s="1246"/>
      <c r="AD30" s="1246"/>
      <c r="AE30" s="1246"/>
      <c r="AF30" s="1246"/>
      <c r="AG30" s="1246"/>
      <c r="AH30" s="1246"/>
      <c r="AI30" s="1246"/>
      <c r="AJ30" s="1246"/>
      <c r="AK30" s="1246"/>
      <c r="AL30" s="1246"/>
      <c r="AM30" s="1247"/>
      <c r="AN30" s="1247"/>
      <c r="AO30" s="1247"/>
      <c r="AP30" s="1247"/>
    </row>
    <row r="31" spans="1:44" x14ac:dyDescent="0.2">
      <c r="D31" s="1498"/>
      <c r="Q31" s="1173"/>
      <c r="R31" s="1173"/>
      <c r="S31" s="1173"/>
      <c r="T31" s="1173"/>
      <c r="U31" s="1173"/>
      <c r="V31" s="1173"/>
      <c r="W31" s="1173"/>
      <c r="X31" s="1173"/>
      <c r="Y31" s="1173"/>
      <c r="Z31" s="1173"/>
      <c r="AA31" s="1173"/>
      <c r="AB31" s="1173"/>
      <c r="AC31" s="1173"/>
      <c r="AD31" s="1173"/>
      <c r="AE31" s="1173"/>
      <c r="AF31" s="1173"/>
      <c r="AG31" s="1173"/>
      <c r="AH31" s="1173"/>
      <c r="AI31" s="1173"/>
      <c r="AJ31" s="1173"/>
      <c r="AK31" s="1173"/>
      <c r="AL31" s="1173"/>
      <c r="AM31" s="1173"/>
      <c r="AN31" s="1173"/>
      <c r="AO31" s="821"/>
      <c r="AP31" s="821"/>
      <c r="AQ31" s="821"/>
      <c r="AR31" s="821"/>
    </row>
    <row r="32" spans="1:44" x14ac:dyDescent="0.2">
      <c r="A32" s="1172" t="s">
        <v>538</v>
      </c>
      <c r="Q32" s="1173"/>
      <c r="R32" s="1173"/>
      <c r="S32" s="1173"/>
      <c r="T32" s="1173"/>
      <c r="U32" s="1173"/>
      <c r="V32" s="1173"/>
      <c r="W32" s="1173"/>
      <c r="X32" s="1173"/>
      <c r="Y32" s="1173"/>
      <c r="Z32" s="1173"/>
      <c r="AA32" s="1173"/>
      <c r="AB32" s="1173"/>
      <c r="AC32" s="1173"/>
      <c r="AD32" s="1173"/>
      <c r="AE32" s="1173"/>
      <c r="AF32" s="1173"/>
      <c r="AG32" s="1173"/>
      <c r="AH32" s="1173"/>
      <c r="AI32" s="1173"/>
      <c r="AJ32" s="1173"/>
      <c r="AK32" s="1173"/>
      <c r="AL32" s="1173"/>
      <c r="AM32" s="1173"/>
      <c r="AN32" s="1173"/>
      <c r="AO32" s="821"/>
      <c r="AP32" s="821"/>
      <c r="AQ32" s="821"/>
      <c r="AR32" s="821"/>
    </row>
    <row r="33" spans="1:45" x14ac:dyDescent="0.2">
      <c r="A33" s="820" t="s">
        <v>802</v>
      </c>
      <c r="D33" s="1178">
        <v>1</v>
      </c>
      <c r="E33" s="1056" t="s">
        <v>596</v>
      </c>
      <c r="F33" s="1056" t="s">
        <v>597</v>
      </c>
      <c r="G33" s="1178">
        <v>0.6</v>
      </c>
      <c r="H33" s="1178">
        <v>0.3</v>
      </c>
      <c r="I33" s="1178">
        <v>0</v>
      </c>
      <c r="P33" s="1173"/>
      <c r="Q33" s="1173"/>
      <c r="R33" s="1173"/>
      <c r="S33" s="1173"/>
      <c r="T33" s="1173"/>
      <c r="U33" s="1173"/>
      <c r="V33" s="1173"/>
      <c r="W33" s="1173"/>
      <c r="X33" s="1173"/>
      <c r="Y33" s="1173"/>
      <c r="Z33" s="1173"/>
      <c r="AA33" s="1173"/>
      <c r="AB33" s="1173"/>
      <c r="AC33" s="1173"/>
      <c r="AD33" s="1173"/>
      <c r="AE33" s="1173"/>
      <c r="AF33" s="1173"/>
      <c r="AG33" s="1173"/>
      <c r="AH33" s="1173"/>
      <c r="AI33" s="1173"/>
      <c r="AJ33" s="1173"/>
      <c r="AK33" s="1173"/>
      <c r="AL33" s="1173"/>
      <c r="AM33" s="1173"/>
      <c r="AN33" s="821"/>
      <c r="AO33" s="821"/>
      <c r="AP33" s="821"/>
      <c r="AQ33" s="821"/>
    </row>
    <row r="34" spans="1:45" x14ac:dyDescent="0.2">
      <c r="D34" s="1500" t="s">
        <v>227</v>
      </c>
      <c r="E34" s="1500" t="s">
        <v>252</v>
      </c>
      <c r="F34" s="1500" t="s">
        <v>279</v>
      </c>
      <c r="G34" s="1500" t="s">
        <v>280</v>
      </c>
      <c r="H34" s="1500" t="s">
        <v>281</v>
      </c>
      <c r="I34" s="1500" t="s">
        <v>16</v>
      </c>
      <c r="P34" s="1173"/>
      <c r="Q34" s="1173"/>
      <c r="R34" s="1173"/>
      <c r="S34" s="1173"/>
      <c r="T34" s="1173"/>
      <c r="U34" s="1173"/>
      <c r="V34" s="1173"/>
      <c r="W34" s="1173"/>
      <c r="X34" s="1173"/>
      <c r="Y34" s="1173"/>
      <c r="Z34" s="1173"/>
      <c r="AA34" s="1173"/>
      <c r="AB34" s="1173"/>
      <c r="AC34" s="1173"/>
      <c r="AD34" s="1173"/>
      <c r="AE34" s="1173"/>
      <c r="AF34" s="1173"/>
      <c r="AG34" s="1173"/>
      <c r="AH34" s="1173"/>
      <c r="AI34" s="1173"/>
      <c r="AJ34" s="1173"/>
      <c r="AK34" s="1173"/>
      <c r="AL34" s="1173"/>
      <c r="AM34" s="1173"/>
      <c r="AN34" s="821"/>
      <c r="AO34" s="821"/>
      <c r="AP34" s="821"/>
      <c r="AQ34" s="821"/>
    </row>
    <row r="35" spans="1:45" x14ac:dyDescent="0.2">
      <c r="B35" s="1180" t="s">
        <v>119</v>
      </c>
      <c r="C35" s="1172" t="s">
        <v>476</v>
      </c>
      <c r="D35" s="1188">
        <f>'geg ll'!G51</f>
        <v>1779145.57</v>
      </c>
      <c r="E35" s="1188">
        <f>+$D37*IF($D37&gt;0,0.95,0.9)</f>
        <v>1736161.4130287997</v>
      </c>
      <c r="F35" s="1188">
        <f>+E37*IF(E37&gt;0,0.8,0.75)</f>
        <v>1538611.8320000002</v>
      </c>
      <c r="G35" s="1188">
        <f>+F37*G33</f>
        <v>1207756.4339999999</v>
      </c>
      <c r="H35" s="1188">
        <f>+G37*H33</f>
        <v>625406.47499999998</v>
      </c>
      <c r="I35" s="1177">
        <f>+H37*I33</f>
        <v>0</v>
      </c>
      <c r="P35" s="1173"/>
      <c r="Q35" s="1173"/>
      <c r="R35" s="1173"/>
      <c r="S35" s="1173"/>
      <c r="T35" s="1173"/>
      <c r="U35" s="1173"/>
      <c r="V35" s="1173"/>
      <c r="W35" s="1173"/>
      <c r="X35" s="1173"/>
      <c r="Y35" s="1173"/>
      <c r="Z35" s="1173"/>
      <c r="AA35" s="1173"/>
      <c r="AB35" s="1173"/>
      <c r="AC35" s="1173"/>
      <c r="AD35" s="1173"/>
      <c r="AE35" s="1173"/>
      <c r="AF35" s="1173"/>
      <c r="AG35" s="1173"/>
      <c r="AH35" s="1173"/>
      <c r="AI35" s="1173"/>
      <c r="AJ35" s="1173"/>
      <c r="AK35" s="1173"/>
      <c r="AL35" s="1173"/>
      <c r="AM35" s="1173"/>
      <c r="AN35" s="821"/>
      <c r="AO35" s="821"/>
      <c r="AP35" s="821"/>
      <c r="AQ35" s="821"/>
    </row>
    <row r="36" spans="1:45" x14ac:dyDescent="0.2">
      <c r="C36" s="1180" t="s">
        <v>781</v>
      </c>
      <c r="D36" s="1510">
        <v>2.7199999999999998E-2</v>
      </c>
      <c r="E36" s="1510">
        <v>5.2380000000000003E-2</v>
      </c>
      <c r="F36" s="1510">
        <v>4.6620000000000002E-2</v>
      </c>
      <c r="G36" s="1547">
        <v>3.5650000000000001E-2</v>
      </c>
      <c r="H36" s="1549">
        <v>1.6379999999999999E-2</v>
      </c>
      <c r="I36" s="1179"/>
      <c r="P36" s="1173"/>
      <c r="Q36" s="1173"/>
      <c r="R36" s="1173"/>
      <c r="S36" s="1173"/>
      <c r="T36" s="1173"/>
      <c r="U36" s="1173"/>
      <c r="V36" s="1173"/>
      <c r="W36" s="1173"/>
      <c r="X36" s="1173"/>
      <c r="Y36" s="1173"/>
      <c r="Z36" s="1173"/>
      <c r="AA36" s="1173"/>
      <c r="AB36" s="1173"/>
      <c r="AC36" s="1173"/>
      <c r="AD36" s="1173"/>
      <c r="AE36" s="1173"/>
      <c r="AF36" s="1173"/>
      <c r="AG36" s="1173"/>
      <c r="AH36" s="1173"/>
      <c r="AI36" s="1173"/>
      <c r="AJ36" s="1173"/>
      <c r="AK36" s="1173"/>
      <c r="AL36" s="1173"/>
      <c r="AM36" s="1173"/>
      <c r="AN36" s="821"/>
      <c r="AO36" s="821"/>
      <c r="AP36" s="821"/>
      <c r="AQ36" s="821"/>
    </row>
    <row r="37" spans="1:45" x14ac:dyDescent="0.2">
      <c r="C37" s="1180" t="s">
        <v>490</v>
      </c>
      <c r="D37" s="1181">
        <f>IF('geg ll'!G51&gt;0,D35*(1+D36),'geg ll'!G51*(1+D36))</f>
        <v>1827538.3295039998</v>
      </c>
      <c r="E37" s="1181">
        <f>ROUND(+D37*(1+E36),2)</f>
        <v>1923264.79</v>
      </c>
      <c r="F37" s="1181">
        <f>ROUND(+E37*(1+F36),2)</f>
        <v>2012927.39</v>
      </c>
      <c r="G37" s="1181">
        <f>ROUND(+F37*(1+G36),2)</f>
        <v>2084688.25</v>
      </c>
      <c r="H37" s="1181"/>
      <c r="I37" s="1181"/>
      <c r="P37" s="1173"/>
      <c r="Q37" s="1173"/>
      <c r="R37" s="1173"/>
      <c r="S37" s="1173"/>
      <c r="T37" s="1173"/>
      <c r="U37" s="1173"/>
      <c r="V37" s="1173"/>
      <c r="W37" s="1173"/>
      <c r="X37" s="1173"/>
      <c r="Y37" s="1173"/>
      <c r="Z37" s="1173"/>
      <c r="AA37" s="1173"/>
      <c r="AB37" s="1173"/>
      <c r="AC37" s="1173"/>
      <c r="AD37" s="1173"/>
      <c r="AE37" s="1173"/>
      <c r="AF37" s="1173"/>
      <c r="AG37" s="1173"/>
      <c r="AH37" s="1173"/>
      <c r="AI37" s="1173"/>
      <c r="AJ37" s="1173"/>
      <c r="AK37" s="1173"/>
      <c r="AL37" s="1173"/>
      <c r="AM37" s="1173"/>
      <c r="AN37" s="821"/>
      <c r="AO37" s="821"/>
      <c r="AP37" s="821"/>
      <c r="AQ37" s="821"/>
    </row>
    <row r="38" spans="1:45" x14ac:dyDescent="0.2">
      <c r="C38" s="1180"/>
      <c r="D38" s="1326">
        <v>2015</v>
      </c>
      <c r="E38" s="1326">
        <v>2016</v>
      </c>
      <c r="F38" s="1326">
        <v>2017</v>
      </c>
      <c r="G38" s="1326">
        <v>2018</v>
      </c>
      <c r="H38" s="1326">
        <v>2019</v>
      </c>
      <c r="I38" s="1326">
        <v>2020</v>
      </c>
      <c r="P38" s="1173"/>
      <c r="Q38" s="1173"/>
      <c r="R38" s="1173"/>
      <c r="S38" s="1173"/>
      <c r="T38" s="1173"/>
      <c r="U38" s="1173"/>
      <c r="V38" s="1173"/>
      <c r="W38" s="1173"/>
      <c r="X38" s="1173"/>
      <c r="Y38" s="1173"/>
      <c r="Z38" s="1173"/>
      <c r="AA38" s="1173"/>
      <c r="AB38" s="1173"/>
      <c r="AC38" s="1173"/>
      <c r="AD38" s="1173"/>
      <c r="AE38" s="1173"/>
      <c r="AF38" s="1173"/>
      <c r="AG38" s="1173"/>
      <c r="AH38" s="1173"/>
      <c r="AI38" s="1173"/>
      <c r="AJ38" s="1173"/>
      <c r="AK38" s="1173"/>
      <c r="AL38" s="1173"/>
      <c r="AM38" s="1173"/>
      <c r="AN38" s="821"/>
      <c r="AO38" s="821"/>
      <c r="AP38" s="821"/>
      <c r="AQ38" s="821"/>
    </row>
    <row r="39" spans="1:45" x14ac:dyDescent="0.2">
      <c r="B39" s="1180" t="s">
        <v>137</v>
      </c>
      <c r="C39" s="1172" t="s">
        <v>477</v>
      </c>
      <c r="D39" s="1188">
        <f>'geg ll'!H52</f>
        <v>102913.81</v>
      </c>
      <c r="E39" s="1188">
        <f>+D41*IF(D41&gt;0,0.95,0.9)</f>
        <v>102236.12256115</v>
      </c>
      <c r="F39" s="1188">
        <f>+E41*IF(E41&gt;0,0.8,0.75)</f>
        <v>86265.768000000011</v>
      </c>
      <c r="G39" s="1188">
        <f>+F41*G33</f>
        <v>66129.179999999993</v>
      </c>
      <c r="H39" s="1188">
        <f>+G41*H33</f>
        <v>33560.559000000001</v>
      </c>
      <c r="I39" s="1177">
        <f>H41*I33</f>
        <v>0</v>
      </c>
      <c r="P39" s="1173"/>
      <c r="Q39" s="1173"/>
      <c r="R39" s="1173"/>
      <c r="S39" s="1173"/>
      <c r="T39" s="1173"/>
      <c r="U39" s="1173"/>
      <c r="V39" s="1173"/>
      <c r="W39" s="1173"/>
      <c r="X39" s="1173"/>
      <c r="Y39" s="1173"/>
      <c r="Z39" s="1173"/>
      <c r="AA39" s="1173"/>
      <c r="AB39" s="1173"/>
      <c r="AC39" s="1173"/>
      <c r="AD39" s="1173"/>
      <c r="AE39" s="1173"/>
      <c r="AF39" s="1173"/>
      <c r="AG39" s="1173"/>
      <c r="AH39" s="1173"/>
      <c r="AI39" s="1173"/>
      <c r="AJ39" s="1173"/>
      <c r="AK39" s="1173"/>
      <c r="AL39" s="1173"/>
      <c r="AM39" s="1173"/>
      <c r="AN39" s="821"/>
      <c r="AO39" s="821"/>
      <c r="AP39" s="821"/>
      <c r="AQ39" s="821"/>
    </row>
    <row r="40" spans="1:45" x14ac:dyDescent="0.2">
      <c r="C40" s="1180" t="s">
        <v>781</v>
      </c>
      <c r="D40" s="1225">
        <v>4.5699999999999998E-2</v>
      </c>
      <c r="E40" s="1225">
        <v>2E-3</v>
      </c>
      <c r="F40" s="1225">
        <v>2.2100000000000002E-2</v>
      </c>
      <c r="G40" s="1225">
        <v>1.4999999999999999E-2</v>
      </c>
      <c r="H40" s="1225">
        <v>1.6E-2</v>
      </c>
      <c r="I40" s="1179"/>
      <c r="P40" s="1173"/>
      <c r="Q40" s="1173"/>
      <c r="R40" s="1173"/>
      <c r="S40" s="1173"/>
      <c r="T40" s="1173"/>
      <c r="U40" s="1173"/>
      <c r="V40" s="1173"/>
      <c r="W40" s="1173"/>
      <c r="X40" s="1173"/>
      <c r="Y40" s="1173"/>
      <c r="Z40" s="1173"/>
      <c r="AA40" s="1173"/>
      <c r="AB40" s="1173"/>
      <c r="AC40" s="1173"/>
      <c r="AD40" s="1173"/>
      <c r="AE40" s="1173"/>
      <c r="AF40" s="1173"/>
      <c r="AG40" s="1173"/>
      <c r="AH40" s="1173"/>
      <c r="AI40" s="1173"/>
      <c r="AJ40" s="1173"/>
      <c r="AK40" s="1173"/>
      <c r="AL40" s="1173"/>
      <c r="AM40" s="1173"/>
      <c r="AN40" s="821"/>
      <c r="AO40" s="821"/>
      <c r="AP40" s="821"/>
      <c r="AQ40" s="821"/>
    </row>
    <row r="41" spans="1:45" x14ac:dyDescent="0.2">
      <c r="C41" s="1180" t="s">
        <v>490</v>
      </c>
      <c r="D41" s="1181">
        <f>IF('geg ll'!H52&gt;0,D39*(1+D40),'geg ll'!H52*(1+D40))</f>
        <v>107616.97111700001</v>
      </c>
      <c r="E41" s="1181">
        <f>ROUND(+D41*(1+E40),2)</f>
        <v>107832.21</v>
      </c>
      <c r="F41" s="1181">
        <f>ROUND(+E41*(1+F40),2)</f>
        <v>110215.3</v>
      </c>
      <c r="G41" s="1181">
        <f>ROUND(+F41*(1+G40),2)</f>
        <v>111868.53</v>
      </c>
      <c r="H41" s="1181"/>
      <c r="I41" s="1181"/>
      <c r="P41" s="1173"/>
      <c r="Q41" s="1173"/>
      <c r="R41" s="1173"/>
      <c r="S41" s="1173"/>
      <c r="T41" s="1173"/>
      <c r="U41" s="1173"/>
      <c r="V41" s="1173"/>
      <c r="W41" s="1173"/>
      <c r="X41" s="1173"/>
      <c r="Y41" s="1173"/>
      <c r="Z41" s="1173"/>
      <c r="AA41" s="1173"/>
      <c r="AB41" s="1173"/>
      <c r="AC41" s="1173"/>
      <c r="AD41" s="1173"/>
      <c r="AE41" s="1173"/>
      <c r="AF41" s="1173"/>
      <c r="AG41" s="1173"/>
      <c r="AH41" s="1173"/>
      <c r="AI41" s="1173"/>
      <c r="AJ41" s="1173"/>
      <c r="AK41" s="1173"/>
      <c r="AL41" s="1173"/>
      <c r="AM41" s="1173"/>
      <c r="AN41" s="821"/>
      <c r="AO41" s="821"/>
      <c r="AP41" s="821"/>
      <c r="AQ41" s="821"/>
    </row>
    <row r="42" spans="1:45" x14ac:dyDescent="0.2">
      <c r="R42" s="1173"/>
      <c r="S42" s="1173"/>
      <c r="T42" s="1173"/>
      <c r="U42" s="1173"/>
      <c r="V42" s="1173"/>
      <c r="W42" s="1173"/>
      <c r="X42" s="1173"/>
      <c r="Y42" s="1173"/>
      <c r="Z42" s="1173"/>
      <c r="AA42" s="1173"/>
      <c r="AB42" s="1173"/>
      <c r="AC42" s="1173"/>
      <c r="AD42" s="1173"/>
      <c r="AE42" s="1173"/>
      <c r="AF42" s="1173"/>
      <c r="AG42" s="1173"/>
      <c r="AH42" s="1173"/>
      <c r="AI42" s="1173"/>
      <c r="AJ42" s="1173"/>
      <c r="AK42" s="1173"/>
      <c r="AL42" s="1173"/>
      <c r="AM42" s="1173"/>
      <c r="AN42" s="1173"/>
      <c r="AO42" s="1173"/>
      <c r="AP42" s="821"/>
      <c r="AQ42" s="821"/>
      <c r="AR42" s="821"/>
      <c r="AS42" s="821"/>
    </row>
    <row r="43" spans="1:45" x14ac:dyDescent="0.2">
      <c r="A43" s="1172" t="s">
        <v>371</v>
      </c>
      <c r="R43" s="1173"/>
      <c r="S43" s="1173"/>
      <c r="T43" s="1173"/>
      <c r="U43" s="1173"/>
      <c r="V43" s="1173"/>
      <c r="W43" s="1173"/>
      <c r="X43" s="1173"/>
      <c r="Y43" s="1173"/>
      <c r="Z43" s="1173"/>
      <c r="AA43" s="1173"/>
      <c r="AB43" s="1173"/>
      <c r="AC43" s="1173"/>
      <c r="AD43" s="1173"/>
      <c r="AE43" s="1173"/>
      <c r="AF43" s="1173"/>
      <c r="AG43" s="1173"/>
      <c r="AH43" s="1173"/>
      <c r="AI43" s="1173"/>
      <c r="AJ43" s="1173"/>
      <c r="AK43" s="1173"/>
      <c r="AL43" s="1173"/>
      <c r="AM43" s="1173"/>
      <c r="AN43" s="1173"/>
      <c r="AO43" s="1173"/>
      <c r="AP43" s="821"/>
      <c r="AQ43" s="821"/>
      <c r="AR43" s="821"/>
      <c r="AS43" s="821"/>
    </row>
    <row r="44" spans="1:45" s="1074" customFormat="1" x14ac:dyDescent="0.2">
      <c r="A44" s="1172" t="s">
        <v>367</v>
      </c>
      <c r="D44" s="1183" t="str">
        <f>+D2</f>
        <v>2017/18</v>
      </c>
      <c r="E44" s="1183" t="str">
        <f>+E2</f>
        <v>2018/19</v>
      </c>
      <c r="F44" s="1183" t="str">
        <f>+F2</f>
        <v>2019/20</v>
      </c>
      <c r="G44" s="1183" t="str">
        <f>+G2</f>
        <v>2020/21</v>
      </c>
      <c r="H44" s="1183" t="str">
        <f>+H2</f>
        <v>2021/22</v>
      </c>
      <c r="I44" s="1184"/>
      <c r="J44" s="1184"/>
      <c r="P44" s="1185"/>
      <c r="Q44" s="1185"/>
      <c r="R44" s="1185"/>
      <c r="S44" s="1185"/>
      <c r="T44" s="1185"/>
      <c r="U44" s="1185"/>
      <c r="V44" s="1185"/>
      <c r="W44" s="1185"/>
      <c r="X44" s="1185"/>
      <c r="Y44" s="1185"/>
      <c r="Z44" s="1185"/>
      <c r="AA44" s="1185"/>
      <c r="AB44" s="1185"/>
      <c r="AC44" s="1185"/>
      <c r="AD44" s="1185"/>
      <c r="AE44" s="1185"/>
      <c r="AF44" s="1185"/>
      <c r="AG44" s="1185"/>
      <c r="AH44" s="1185"/>
      <c r="AI44" s="1185"/>
      <c r="AJ44" s="1185"/>
      <c r="AK44" s="1185"/>
      <c r="AL44" s="1185"/>
      <c r="AM44" s="1185"/>
      <c r="AN44" s="1184"/>
      <c r="AO44" s="1184"/>
      <c r="AP44" s="1184"/>
      <c r="AQ44" s="1184"/>
    </row>
    <row r="45" spans="1:45" x14ac:dyDescent="0.2">
      <c r="A45" s="820" t="s">
        <v>342</v>
      </c>
      <c r="D45" s="1511">
        <v>9847.2199999999993</v>
      </c>
      <c r="E45" s="1511">
        <v>10273.66</v>
      </c>
      <c r="F45" s="1511">
        <v>10638.84</v>
      </c>
      <c r="G45" s="1511">
        <v>10974.61</v>
      </c>
      <c r="H45" s="1550">
        <v>11054.4</v>
      </c>
      <c r="I45" s="1186"/>
      <c r="J45" s="821"/>
      <c r="K45" s="821"/>
      <c r="Q45" s="1173"/>
      <c r="R45" s="1173"/>
      <c r="S45" s="1173"/>
      <c r="T45" s="1173"/>
      <c r="U45" s="1173"/>
      <c r="V45" s="1173"/>
      <c r="W45" s="1173"/>
      <c r="X45" s="1173"/>
      <c r="Y45" s="1173"/>
      <c r="Z45" s="1173"/>
      <c r="AA45" s="1173"/>
      <c r="AB45" s="1173"/>
      <c r="AC45" s="1173"/>
      <c r="AD45" s="1173"/>
      <c r="AE45" s="1173"/>
      <c r="AF45" s="1173"/>
      <c r="AG45" s="1173"/>
      <c r="AH45" s="1173"/>
      <c r="AI45" s="1173"/>
      <c r="AJ45" s="1173"/>
      <c r="AK45" s="1173"/>
      <c r="AL45" s="1173"/>
      <c r="AM45" s="1173"/>
      <c r="AN45" s="1173"/>
      <c r="AO45" s="821"/>
      <c r="AP45" s="821"/>
      <c r="AQ45" s="821"/>
      <c r="AR45" s="821"/>
    </row>
    <row r="46" spans="1:45" x14ac:dyDescent="0.2">
      <c r="A46" s="820" t="s">
        <v>343</v>
      </c>
      <c r="D46" s="1511">
        <v>17352.82</v>
      </c>
      <c r="E46" s="1511">
        <v>18040.75</v>
      </c>
      <c r="F46" s="1511">
        <v>18679.919999999998</v>
      </c>
      <c r="G46" s="1511">
        <v>19269.46</v>
      </c>
      <c r="H46" s="1550">
        <v>19409.55</v>
      </c>
      <c r="I46" s="1186"/>
      <c r="J46" s="821"/>
      <c r="K46" s="821"/>
      <c r="Q46" s="1173"/>
      <c r="R46" s="1173"/>
      <c r="S46" s="1173"/>
      <c r="T46" s="1173"/>
      <c r="U46" s="1173"/>
      <c r="V46" s="1173"/>
      <c r="W46" s="1173"/>
      <c r="X46" s="1173"/>
      <c r="Y46" s="1173"/>
      <c r="Z46" s="1173"/>
      <c r="AA46" s="1173"/>
      <c r="AB46" s="1173"/>
      <c r="AC46" s="1173"/>
      <c r="AD46" s="1173"/>
      <c r="AE46" s="1173"/>
      <c r="AF46" s="1173"/>
      <c r="AG46" s="1173"/>
      <c r="AH46" s="1173"/>
      <c r="AI46" s="1173"/>
      <c r="AJ46" s="1173"/>
      <c r="AK46" s="1173"/>
      <c r="AL46" s="1173"/>
      <c r="AM46" s="1173"/>
      <c r="AN46" s="1173"/>
      <c r="AO46" s="821"/>
      <c r="AP46" s="821"/>
      <c r="AQ46" s="821"/>
      <c r="AR46" s="821"/>
    </row>
    <row r="47" spans="1:45" x14ac:dyDescent="0.2">
      <c r="A47" s="820" t="s">
        <v>344</v>
      </c>
      <c r="D47" s="1511">
        <v>21529.33</v>
      </c>
      <c r="E47" s="1511">
        <v>22354.59</v>
      </c>
      <c r="F47" s="1511">
        <v>23145.66</v>
      </c>
      <c r="G47" s="1511">
        <v>23876.15</v>
      </c>
      <c r="H47" s="1550">
        <v>24049.72</v>
      </c>
      <c r="I47" s="1186"/>
      <c r="J47" s="821"/>
      <c r="K47" s="821"/>
      <c r="Q47" s="1173"/>
      <c r="R47" s="1173"/>
      <c r="S47" s="1173"/>
      <c r="T47" s="1173"/>
      <c r="U47" s="1173"/>
      <c r="V47" s="1173"/>
      <c r="W47" s="1173"/>
      <c r="X47" s="1173"/>
      <c r="Y47" s="1173"/>
      <c r="Z47" s="1173"/>
      <c r="AA47" s="1173"/>
      <c r="AB47" s="1173"/>
      <c r="AC47" s="1173"/>
      <c r="AD47" s="1173"/>
      <c r="AE47" s="1173"/>
      <c r="AF47" s="1173"/>
      <c r="AG47" s="1173"/>
      <c r="AH47" s="1173"/>
      <c r="AI47" s="1173"/>
      <c r="AJ47" s="1173"/>
      <c r="AK47" s="1173"/>
      <c r="AL47" s="1173"/>
      <c r="AM47" s="1173"/>
      <c r="AN47" s="1173"/>
      <c r="AO47" s="821"/>
      <c r="AP47" s="821"/>
      <c r="AQ47" s="821"/>
      <c r="AR47" s="821"/>
    </row>
    <row r="48" spans="1:45" x14ac:dyDescent="0.2">
      <c r="D48" s="1225"/>
      <c r="E48" s="1184"/>
      <c r="F48" s="821"/>
      <c r="G48" s="821"/>
      <c r="H48" s="821"/>
      <c r="I48" s="821"/>
      <c r="O48" s="1173"/>
      <c r="P48" s="1173"/>
      <c r="Q48" s="1173"/>
      <c r="R48" s="1173"/>
      <c r="S48" s="1173"/>
      <c r="T48" s="1173"/>
      <c r="U48" s="1173"/>
      <c r="V48" s="1173"/>
      <c r="W48" s="1173"/>
      <c r="X48" s="1173"/>
      <c r="Y48" s="1173"/>
      <c r="Z48" s="1173"/>
      <c r="AA48" s="1173"/>
      <c r="AB48" s="1173"/>
      <c r="AC48" s="1173"/>
      <c r="AD48" s="1173"/>
      <c r="AE48" s="1173"/>
      <c r="AF48" s="1173"/>
      <c r="AG48" s="1173"/>
      <c r="AH48" s="1173"/>
      <c r="AI48" s="1173"/>
      <c r="AJ48" s="1173"/>
      <c r="AK48" s="1173"/>
      <c r="AL48" s="1173"/>
      <c r="AM48" s="821"/>
      <c r="AN48" s="821"/>
      <c r="AO48" s="821"/>
      <c r="AP48" s="821"/>
    </row>
    <row r="49" spans="1:46" x14ac:dyDescent="0.2">
      <c r="A49" s="1172" t="s">
        <v>368</v>
      </c>
      <c r="D49" s="1182">
        <f>+D4</f>
        <v>2017</v>
      </c>
      <c r="E49" s="1182">
        <v>2018</v>
      </c>
      <c r="F49" s="1182">
        <f>+F4</f>
        <v>2019</v>
      </c>
      <c r="G49" s="1182">
        <v>2020</v>
      </c>
      <c r="H49" s="1182">
        <v>2021</v>
      </c>
      <c r="I49" s="1182">
        <v>2022</v>
      </c>
      <c r="J49" s="1228">
        <v>0</v>
      </c>
      <c r="M49" s="821"/>
      <c r="N49" s="821"/>
      <c r="S49" s="1173"/>
      <c r="T49" s="1173"/>
      <c r="U49" s="1173"/>
      <c r="V49" s="1173"/>
      <c r="W49" s="1173"/>
      <c r="X49" s="1173"/>
      <c r="Y49" s="1173"/>
      <c r="Z49" s="1173"/>
      <c r="AA49" s="1173"/>
      <c r="AB49" s="1173"/>
      <c r="AC49" s="1173"/>
      <c r="AD49" s="1173"/>
      <c r="AE49" s="1173"/>
      <c r="AF49" s="1173"/>
      <c r="AG49" s="1173"/>
      <c r="AH49" s="1173"/>
      <c r="AI49" s="1173"/>
      <c r="AJ49" s="1173"/>
      <c r="AK49" s="1173"/>
      <c r="AL49" s="1173"/>
      <c r="AM49" s="1173"/>
      <c r="AN49" s="1173"/>
      <c r="AO49" s="1173"/>
      <c r="AP49" s="1173"/>
      <c r="AQ49" s="821"/>
      <c r="AR49" s="821"/>
      <c r="AS49" s="821"/>
      <c r="AT49" s="821"/>
    </row>
    <row r="50" spans="1:46" x14ac:dyDescent="0.2">
      <c r="A50" s="820" t="s">
        <v>342</v>
      </c>
      <c r="C50" s="1187"/>
      <c r="D50" s="1511">
        <v>611.69000000000005</v>
      </c>
      <c r="E50" s="1511">
        <v>627.91000000000008</v>
      </c>
      <c r="F50" s="1188">
        <v>637.33000000000004</v>
      </c>
      <c r="G50" s="1181">
        <v>647.53</v>
      </c>
      <c r="H50" s="1181">
        <v>655.29999999999995</v>
      </c>
      <c r="I50" s="1181">
        <f>ROUND(H50*(1+J$49),2)</f>
        <v>655.29999999999995</v>
      </c>
      <c r="L50" s="821"/>
      <c r="M50" s="821"/>
      <c r="R50" s="1173"/>
      <c r="S50" s="1173"/>
      <c r="T50" s="1173"/>
      <c r="U50" s="1173"/>
      <c r="V50" s="1173"/>
      <c r="W50" s="1173"/>
      <c r="X50" s="1173"/>
      <c r="Y50" s="1173"/>
      <c r="Z50" s="1173"/>
      <c r="AA50" s="1173"/>
      <c r="AB50" s="1173"/>
      <c r="AC50" s="1173"/>
      <c r="AD50" s="1173"/>
      <c r="AE50" s="1173"/>
      <c r="AF50" s="1173"/>
      <c r="AG50" s="1173"/>
      <c r="AH50" s="1173"/>
      <c r="AI50" s="1173"/>
      <c r="AJ50" s="1173"/>
      <c r="AK50" s="1173"/>
      <c r="AL50" s="1173"/>
      <c r="AM50" s="1173"/>
      <c r="AN50" s="1173"/>
      <c r="AO50" s="1173"/>
      <c r="AP50" s="821"/>
      <c r="AQ50" s="821"/>
      <c r="AR50" s="821"/>
      <c r="AS50" s="821"/>
    </row>
    <row r="51" spans="1:46" x14ac:dyDescent="0.2">
      <c r="A51" s="820" t="s">
        <v>343</v>
      </c>
      <c r="C51" s="1187"/>
      <c r="D51" s="1511">
        <v>952.92</v>
      </c>
      <c r="E51" s="1511">
        <v>976.68000000000006</v>
      </c>
      <c r="F51" s="1188">
        <v>991.33</v>
      </c>
      <c r="G51" s="1181">
        <v>1007.19</v>
      </c>
      <c r="H51" s="1181">
        <v>1019.28</v>
      </c>
      <c r="I51" s="1181">
        <f>ROUND(H51*(1+J$49),2)</f>
        <v>1019.28</v>
      </c>
      <c r="L51" s="821"/>
      <c r="M51" s="821"/>
      <c r="R51" s="1173"/>
      <c r="S51" s="1173"/>
      <c r="T51" s="1173"/>
      <c r="U51" s="1173"/>
      <c r="V51" s="1173"/>
      <c r="W51" s="1173"/>
      <c r="X51" s="1173"/>
      <c r="Y51" s="1173"/>
      <c r="Z51" s="1173"/>
      <c r="AA51" s="1173"/>
      <c r="AB51" s="1173"/>
      <c r="AC51" s="1173"/>
      <c r="AD51" s="1173"/>
      <c r="AE51" s="1173"/>
      <c r="AF51" s="1173"/>
      <c r="AG51" s="1173"/>
      <c r="AH51" s="1173"/>
      <c r="AI51" s="1173"/>
      <c r="AJ51" s="1173"/>
      <c r="AK51" s="1173"/>
      <c r="AL51" s="1173"/>
      <c r="AM51" s="1173"/>
      <c r="AN51" s="1173"/>
      <c r="AO51" s="1173"/>
      <c r="AP51" s="821"/>
      <c r="AQ51" s="821"/>
      <c r="AR51" s="821"/>
      <c r="AS51" s="821"/>
    </row>
    <row r="52" spans="1:46" x14ac:dyDescent="0.2">
      <c r="A52" s="820" t="s">
        <v>344</v>
      </c>
      <c r="C52" s="1187"/>
      <c r="D52" s="1511">
        <v>1105.3</v>
      </c>
      <c r="E52" s="1511">
        <v>1132.43</v>
      </c>
      <c r="F52" s="1188">
        <v>1149.42</v>
      </c>
      <c r="G52" s="1181">
        <v>1167.81</v>
      </c>
      <c r="H52" s="1181">
        <v>1181.82</v>
      </c>
      <c r="I52" s="1181">
        <f>ROUND(H52*(1+J$49),2)</f>
        <v>1181.82</v>
      </c>
      <c r="L52" s="821"/>
      <c r="M52" s="821"/>
      <c r="R52" s="1173"/>
      <c r="S52" s="1173"/>
      <c r="T52" s="1173"/>
      <c r="U52" s="1173"/>
      <c r="V52" s="1173"/>
      <c r="W52" s="1173"/>
      <c r="X52" s="1173"/>
      <c r="Y52" s="1173"/>
      <c r="Z52" s="1173"/>
      <c r="AA52" s="1173"/>
      <c r="AB52" s="1173"/>
      <c r="AC52" s="1173"/>
      <c r="AD52" s="1173"/>
      <c r="AE52" s="1173"/>
      <c r="AF52" s="1173"/>
      <c r="AG52" s="1173"/>
      <c r="AH52" s="1173"/>
      <c r="AI52" s="1173"/>
      <c r="AJ52" s="1173"/>
      <c r="AK52" s="1173"/>
      <c r="AL52" s="1173"/>
      <c r="AM52" s="1173"/>
      <c r="AN52" s="1173"/>
      <c r="AO52" s="1173"/>
      <c r="AP52" s="821"/>
      <c r="AQ52" s="821"/>
      <c r="AR52" s="821"/>
      <c r="AS52" s="821"/>
    </row>
    <row r="53" spans="1:46" x14ac:dyDescent="0.2">
      <c r="E53" s="1074"/>
      <c r="Q53" s="1173"/>
      <c r="R53" s="1173"/>
      <c r="S53" s="1173"/>
      <c r="T53" s="1173"/>
      <c r="U53" s="1173"/>
      <c r="V53" s="1173"/>
      <c r="W53" s="1173"/>
      <c r="X53" s="1173"/>
      <c r="Y53" s="1173"/>
      <c r="Z53" s="1173"/>
      <c r="AA53" s="1173"/>
      <c r="AB53" s="1173"/>
      <c r="AC53" s="1173"/>
      <c r="AD53" s="1173"/>
      <c r="AE53" s="1173"/>
      <c r="AF53" s="1173"/>
      <c r="AG53" s="1173"/>
      <c r="AH53" s="1173"/>
      <c r="AI53" s="1173"/>
      <c r="AJ53" s="1173"/>
      <c r="AK53" s="1173"/>
      <c r="AL53" s="1173"/>
      <c r="AM53" s="1173"/>
      <c r="AN53" s="1173"/>
      <c r="AO53" s="821"/>
      <c r="AP53" s="821"/>
      <c r="AQ53" s="821"/>
      <c r="AR53" s="821"/>
    </row>
    <row r="54" spans="1:46" x14ac:dyDescent="0.2">
      <c r="A54" s="1190" t="s">
        <v>1</v>
      </c>
      <c r="B54" s="1191"/>
      <c r="C54" s="1191" t="s">
        <v>2</v>
      </c>
      <c r="D54" s="1190" t="s">
        <v>648</v>
      </c>
      <c r="E54" s="1190" t="s">
        <v>862</v>
      </c>
      <c r="F54" s="1190" t="s">
        <v>920</v>
      </c>
      <c r="G54" s="1190" t="s">
        <v>927</v>
      </c>
      <c r="H54" s="1190" t="s">
        <v>953</v>
      </c>
      <c r="O54" s="1173"/>
      <c r="P54" s="1173"/>
      <c r="Q54" s="1173"/>
      <c r="R54" s="1173"/>
      <c r="S54" s="1173"/>
      <c r="T54" s="1173"/>
      <c r="U54" s="1173"/>
      <c r="V54" s="1173"/>
      <c r="W54" s="1173"/>
      <c r="X54" s="1173"/>
      <c r="Y54" s="1173"/>
      <c r="Z54" s="1173"/>
      <c r="AA54" s="1173"/>
      <c r="AB54" s="1173"/>
      <c r="AC54" s="1173"/>
      <c r="AD54" s="1173"/>
      <c r="AE54" s="1173"/>
      <c r="AF54" s="1173"/>
      <c r="AG54" s="1173"/>
      <c r="AH54" s="1173"/>
      <c r="AI54" s="1173"/>
      <c r="AJ54" s="1173"/>
      <c r="AK54" s="1173"/>
      <c r="AL54" s="821"/>
      <c r="AM54" s="821"/>
      <c r="AN54" s="821"/>
      <c r="AO54" s="821"/>
    </row>
    <row r="55" spans="1:46" x14ac:dyDescent="0.2">
      <c r="A55" s="821" t="s">
        <v>76</v>
      </c>
      <c r="B55" s="821"/>
      <c r="C55" s="1189"/>
      <c r="D55" s="1189">
        <v>87972.7</v>
      </c>
      <c r="E55" s="1189">
        <v>90720.97</v>
      </c>
      <c r="F55" s="1518">
        <v>93910.720000000001</v>
      </c>
      <c r="G55" s="1518">
        <v>96874.54</v>
      </c>
      <c r="H55" s="1188">
        <v>97578.82</v>
      </c>
      <c r="O55" s="821"/>
      <c r="P55" s="1173"/>
      <c r="Q55" s="1173"/>
      <c r="R55" s="1173"/>
      <c r="S55" s="1173"/>
      <c r="T55" s="1173"/>
      <c r="U55" s="1173"/>
      <c r="V55" s="1173"/>
      <c r="W55" s="1173"/>
      <c r="X55" s="1173"/>
      <c r="Y55" s="1173"/>
      <c r="Z55" s="1173"/>
      <c r="AA55" s="1173"/>
      <c r="AB55" s="1173"/>
      <c r="AC55" s="1173"/>
      <c r="AD55" s="1173"/>
      <c r="AE55" s="1173"/>
      <c r="AF55" s="1173"/>
      <c r="AG55" s="1173"/>
      <c r="AH55" s="1173"/>
      <c r="AI55" s="1173"/>
      <c r="AJ55" s="1173"/>
      <c r="AK55" s="1173"/>
      <c r="AL55" s="1173"/>
      <c r="AM55" s="821"/>
      <c r="AN55" s="821"/>
      <c r="AO55" s="821"/>
      <c r="AP55" s="821"/>
    </row>
    <row r="56" spans="1:46" x14ac:dyDescent="0.2">
      <c r="A56" s="821" t="s">
        <v>77</v>
      </c>
      <c r="B56" s="821"/>
      <c r="C56" s="1189"/>
      <c r="D56" s="1189">
        <v>69301.42</v>
      </c>
      <c r="E56" s="1189">
        <v>72532.25</v>
      </c>
      <c r="F56" s="1518">
        <v>75118.02</v>
      </c>
      <c r="G56" s="1518">
        <v>77488.740000000005</v>
      </c>
      <c r="H56" s="1188">
        <v>78052.08</v>
      </c>
      <c r="O56" s="821"/>
      <c r="P56" s="1173"/>
      <c r="Q56" s="1173"/>
      <c r="R56" s="1173"/>
      <c r="S56" s="1173"/>
      <c r="T56" s="1173"/>
      <c r="U56" s="1173"/>
      <c r="V56" s="1173"/>
      <c r="W56" s="1173"/>
      <c r="X56" s="1173"/>
      <c r="Y56" s="1173"/>
      <c r="Z56" s="1173"/>
      <c r="AA56" s="1173"/>
      <c r="AB56" s="1173"/>
      <c r="AC56" s="1173"/>
      <c r="AD56" s="1173"/>
      <c r="AE56" s="1173"/>
      <c r="AF56" s="1173"/>
      <c r="AG56" s="1173"/>
      <c r="AH56" s="1173"/>
      <c r="AI56" s="1173"/>
      <c r="AJ56" s="1173"/>
      <c r="AK56" s="1173"/>
      <c r="AL56" s="1173"/>
      <c r="AM56" s="821"/>
      <c r="AN56" s="821"/>
      <c r="AO56" s="821"/>
      <c r="AP56" s="821"/>
    </row>
    <row r="57" spans="1:46" x14ac:dyDescent="0.2">
      <c r="A57" s="821" t="s">
        <v>3</v>
      </c>
      <c r="B57" s="821"/>
      <c r="C57" s="1189"/>
      <c r="D57" s="1189">
        <f>+D55-D56</f>
        <v>18671.28</v>
      </c>
      <c r="E57" s="1189">
        <f>+E55-E56</f>
        <v>18188.72</v>
      </c>
      <c r="F57" s="1518">
        <f>+F55-F56</f>
        <v>18792.699999999997</v>
      </c>
      <c r="G57" s="1518">
        <f>+G55-G56</f>
        <v>19385.799999999988</v>
      </c>
      <c r="H57" s="1519">
        <f>+H55-H56</f>
        <v>19526.740000000005</v>
      </c>
      <c r="O57" s="821"/>
      <c r="P57" s="1173"/>
      <c r="Q57" s="1173"/>
      <c r="R57" s="1173"/>
      <c r="S57" s="1173"/>
      <c r="T57" s="1173"/>
      <c r="U57" s="1173"/>
      <c r="V57" s="1173"/>
      <c r="W57" s="1173"/>
      <c r="X57" s="1173"/>
      <c r="Y57" s="1173"/>
      <c r="Z57" s="1173"/>
      <c r="AA57" s="1173"/>
      <c r="AB57" s="1173"/>
      <c r="AC57" s="1173"/>
      <c r="AD57" s="1173"/>
      <c r="AE57" s="1173"/>
      <c r="AF57" s="1173"/>
      <c r="AG57" s="1173"/>
      <c r="AH57" s="1173"/>
      <c r="AI57" s="1173"/>
      <c r="AJ57" s="1173"/>
      <c r="AK57" s="1173"/>
      <c r="AL57" s="1173"/>
      <c r="AM57" s="821"/>
      <c r="AN57" s="821"/>
      <c r="AO57" s="821"/>
      <c r="AP57" s="821"/>
    </row>
    <row r="58" spans="1:46" x14ac:dyDescent="0.2">
      <c r="A58" s="821" t="s">
        <v>691</v>
      </c>
      <c r="B58" s="821"/>
      <c r="C58" s="1189"/>
      <c r="D58" s="1189">
        <v>2705</v>
      </c>
      <c r="E58" s="1189">
        <v>2789</v>
      </c>
      <c r="F58" s="1518">
        <v>2814</v>
      </c>
      <c r="G58" s="1518">
        <v>2978</v>
      </c>
      <c r="H58" s="1188">
        <v>3000</v>
      </c>
      <c r="O58" s="821"/>
      <c r="P58" s="1173"/>
      <c r="Q58" s="1173"/>
      <c r="R58" s="1173"/>
      <c r="S58" s="1173"/>
      <c r="T58" s="1173"/>
      <c r="U58" s="1173"/>
      <c r="V58" s="1173"/>
      <c r="W58" s="1173"/>
      <c r="X58" s="1173"/>
      <c r="Y58" s="1173"/>
      <c r="Z58" s="1173"/>
      <c r="AA58" s="1173"/>
      <c r="AB58" s="1173"/>
      <c r="AC58" s="1173"/>
      <c r="AD58" s="1173"/>
      <c r="AE58" s="1173"/>
      <c r="AF58" s="1173"/>
      <c r="AG58" s="1173"/>
      <c r="AH58" s="1173"/>
      <c r="AI58" s="1173"/>
      <c r="AJ58" s="1173"/>
      <c r="AK58" s="1173"/>
      <c r="AL58" s="1173"/>
      <c r="AM58" s="821"/>
      <c r="AN58" s="821"/>
      <c r="AO58" s="821"/>
      <c r="AP58" s="821"/>
    </row>
    <row r="59" spans="1:46" x14ac:dyDescent="0.2">
      <c r="A59" s="821"/>
      <c r="B59" s="821"/>
      <c r="C59" s="1222"/>
      <c r="D59" s="1222">
        <f>SUM(D57:D58)</f>
        <v>21376.28</v>
      </c>
      <c r="E59" s="1527">
        <f>SUM(E57:E58)</f>
        <v>20977.72</v>
      </c>
      <c r="F59" s="1527">
        <f>SUM(F57:F58)</f>
        <v>21606.699999999997</v>
      </c>
      <c r="G59" s="1527">
        <f>SUM(G57:G58)</f>
        <v>22363.799999999988</v>
      </c>
      <c r="H59" s="1527">
        <f>SUM(H57:H58)</f>
        <v>22526.740000000005</v>
      </c>
      <c r="O59"/>
      <c r="Q59" s="821"/>
      <c r="R59" s="1173"/>
      <c r="S59" s="1173"/>
      <c r="T59" s="1173"/>
      <c r="U59" s="1173"/>
      <c r="V59" s="1173"/>
      <c r="W59" s="1173"/>
      <c r="X59" s="1173"/>
      <c r="Y59" s="1173"/>
      <c r="Z59" s="1173"/>
      <c r="AA59" s="1173"/>
      <c r="AB59" s="1173"/>
      <c r="AC59" s="1173"/>
      <c r="AD59" s="1173"/>
      <c r="AE59" s="1173"/>
      <c r="AF59" s="1173"/>
      <c r="AG59" s="1173"/>
      <c r="AH59" s="1173"/>
      <c r="AI59" s="1173"/>
      <c r="AJ59" s="1173"/>
      <c r="AK59" s="1173"/>
      <c r="AL59" s="1173"/>
      <c r="AM59" s="1173"/>
      <c r="AN59" s="1173"/>
      <c r="AO59" s="821"/>
      <c r="AP59" s="821"/>
      <c r="AQ59" s="821"/>
      <c r="AR59" s="821"/>
    </row>
    <row r="60" spans="1:46" x14ac:dyDescent="0.2">
      <c r="A60" s="821" t="s">
        <v>4</v>
      </c>
      <c r="B60" s="821"/>
      <c r="C60" s="1189"/>
      <c r="D60" s="1189">
        <v>40117.99</v>
      </c>
      <c r="E60" s="1189">
        <v>41371.279999999999</v>
      </c>
      <c r="F60" s="1518">
        <v>41748.17</v>
      </c>
      <c r="G60" s="1518">
        <v>44177.48</v>
      </c>
      <c r="H60" s="1519">
        <v>44498.65</v>
      </c>
      <c r="I60" s="1512"/>
      <c r="O60"/>
      <c r="P60" s="821"/>
      <c r="Q60" s="1173"/>
      <c r="R60" s="1173"/>
      <c r="S60" s="1173"/>
      <c r="T60" s="1173"/>
      <c r="U60" s="1173"/>
      <c r="V60" s="1173"/>
      <c r="W60" s="1173"/>
      <c r="X60" s="1173"/>
      <c r="Y60" s="1173"/>
      <c r="Z60" s="1173"/>
      <c r="AA60" s="1173"/>
      <c r="AB60" s="1173"/>
      <c r="AC60" s="1173"/>
      <c r="AD60" s="1173"/>
      <c r="AE60" s="1173"/>
      <c r="AF60" s="1173"/>
      <c r="AG60" s="1173"/>
      <c r="AH60" s="1173"/>
      <c r="AI60" s="1173"/>
      <c r="AJ60" s="1173"/>
      <c r="AK60" s="1173"/>
      <c r="AL60" s="1173"/>
      <c r="AM60" s="1173"/>
      <c r="AN60" s="821"/>
      <c r="AO60" s="821"/>
      <c r="AP60" s="821"/>
      <c r="AQ60" s="821"/>
    </row>
    <row r="61" spans="1:46" x14ac:dyDescent="0.2">
      <c r="A61" s="821" t="s">
        <v>5</v>
      </c>
      <c r="B61" s="821"/>
      <c r="C61" s="1189"/>
      <c r="D61" s="1189">
        <v>24060.11</v>
      </c>
      <c r="E61" s="1189">
        <v>25225.43</v>
      </c>
      <c r="F61" s="1518">
        <v>25448.05</v>
      </c>
      <c r="G61" s="1518">
        <v>26902.6</v>
      </c>
      <c r="H61" s="1519">
        <v>27055.63</v>
      </c>
      <c r="I61" s="1513"/>
      <c r="J61" s="1520"/>
      <c r="K61" s="1520"/>
      <c r="L61" s="1520"/>
      <c r="M61" s="1520"/>
      <c r="O61"/>
      <c r="Q61" s="821"/>
      <c r="R61" s="1173"/>
      <c r="S61" s="1173"/>
      <c r="T61" s="1173"/>
      <c r="U61" s="1173"/>
      <c r="V61" s="1173"/>
      <c r="W61" s="1173"/>
      <c r="X61" s="1173"/>
      <c r="Y61" s="1173"/>
      <c r="Z61" s="1173"/>
      <c r="AA61" s="1173"/>
      <c r="AB61" s="1173"/>
      <c r="AC61" s="1173"/>
      <c r="AD61" s="1173"/>
      <c r="AE61" s="1173"/>
      <c r="AF61" s="1173"/>
      <c r="AG61" s="1173"/>
      <c r="AH61" s="1173"/>
      <c r="AI61" s="1173"/>
      <c r="AJ61" s="1173"/>
      <c r="AK61" s="1173"/>
      <c r="AL61" s="1173"/>
      <c r="AM61" s="1173"/>
      <c r="AN61" s="1173"/>
      <c r="AO61" s="821"/>
      <c r="AP61" s="821"/>
      <c r="AQ61" s="821"/>
      <c r="AR61" s="821"/>
    </row>
    <row r="62" spans="1:46" x14ac:dyDescent="0.2">
      <c r="A62" s="1192" t="s">
        <v>6</v>
      </c>
      <c r="B62" s="821"/>
      <c r="C62" s="1189"/>
      <c r="D62" s="1189">
        <v>1089.8900000000001</v>
      </c>
      <c r="E62" s="1189">
        <v>1142.68</v>
      </c>
      <c r="F62" s="1518">
        <v>1152.76</v>
      </c>
      <c r="G62" s="1518">
        <v>1218.6500000000001</v>
      </c>
      <c r="H62" s="1519">
        <v>1225.58</v>
      </c>
      <c r="I62" s="1513"/>
      <c r="J62" s="1520"/>
      <c r="K62" s="1520"/>
      <c r="L62" s="1520"/>
      <c r="M62" s="1520"/>
      <c r="O62"/>
      <c r="Q62" s="821"/>
      <c r="R62" s="1173"/>
      <c r="S62" s="1173"/>
      <c r="T62" s="1173"/>
      <c r="U62" s="1173"/>
      <c r="V62" s="1173"/>
      <c r="W62" s="1173"/>
      <c r="X62" s="1173"/>
      <c r="Y62" s="1173"/>
      <c r="Z62" s="1173"/>
      <c r="AA62" s="1173"/>
      <c r="AB62" s="1173"/>
      <c r="AC62" s="1173"/>
      <c r="AD62" s="1173"/>
      <c r="AE62" s="1173"/>
      <c r="AF62" s="1173"/>
      <c r="AG62" s="1173"/>
      <c r="AH62" s="1173"/>
      <c r="AI62" s="1173"/>
      <c r="AJ62" s="1173"/>
      <c r="AK62" s="1173"/>
      <c r="AL62" s="1173"/>
      <c r="AM62" s="1173"/>
      <c r="AN62" s="1173"/>
      <c r="AO62" s="821"/>
      <c r="AP62" s="821"/>
      <c r="AQ62" s="821"/>
      <c r="AR62" s="821"/>
    </row>
    <row r="63" spans="1:46" x14ac:dyDescent="0.2">
      <c r="A63" s="1192" t="s">
        <v>78</v>
      </c>
      <c r="B63" s="821"/>
      <c r="C63" s="1193"/>
      <c r="D63" s="1193">
        <v>41.51</v>
      </c>
      <c r="E63" s="1193">
        <v>41.4</v>
      </c>
      <c r="F63" s="1551">
        <v>41.45</v>
      </c>
      <c r="G63" s="1551">
        <v>41.51</v>
      </c>
      <c r="H63" s="1551">
        <v>41.61</v>
      </c>
      <c r="I63" s="1513"/>
      <c r="J63" s="1520"/>
      <c r="K63" s="1520"/>
      <c r="L63" s="1520"/>
      <c r="M63" s="1520"/>
      <c r="O63"/>
      <c r="Q63" s="821"/>
      <c r="R63" s="1173"/>
      <c r="S63" s="1173"/>
      <c r="T63" s="1173"/>
      <c r="U63" s="1173"/>
      <c r="V63" s="1173"/>
      <c r="W63" s="1173"/>
      <c r="X63" s="1173"/>
      <c r="Y63" s="1173"/>
      <c r="Z63" s="1173"/>
      <c r="AA63" s="1173"/>
      <c r="AB63" s="1173"/>
      <c r="AC63" s="1173"/>
      <c r="AD63" s="1173"/>
      <c r="AE63" s="1173"/>
      <c r="AF63" s="1173"/>
      <c r="AG63" s="1173"/>
      <c r="AH63" s="1173"/>
      <c r="AI63" s="1173"/>
      <c r="AJ63" s="1173"/>
      <c r="AK63" s="1173"/>
      <c r="AL63" s="1173"/>
      <c r="AM63" s="1173"/>
      <c r="AN63" s="1173"/>
      <c r="AO63" s="821"/>
      <c r="AP63" s="821"/>
      <c r="AQ63" s="821"/>
      <c r="AR63" s="821"/>
    </row>
    <row r="64" spans="1:46" x14ac:dyDescent="0.2">
      <c r="A64" s="1074" t="s">
        <v>774</v>
      </c>
      <c r="C64" s="1193"/>
      <c r="D64" s="1189">
        <v>492.78</v>
      </c>
      <c r="E64" s="1189">
        <v>674.02</v>
      </c>
      <c r="F64" s="1518">
        <v>745.71</v>
      </c>
      <c r="G64" s="1518">
        <v>1059.98</v>
      </c>
      <c r="H64" s="1519">
        <v>1182.45</v>
      </c>
      <c r="J64" s="1180"/>
      <c r="K64" s="1180"/>
      <c r="L64" s="1180"/>
      <c r="M64" s="1180"/>
      <c r="O64"/>
      <c r="Q64" s="821"/>
      <c r="R64" s="1173"/>
      <c r="S64" s="1173"/>
      <c r="T64" s="1173"/>
      <c r="U64" s="1173"/>
      <c r="V64" s="1173"/>
      <c r="W64" s="1173"/>
      <c r="X64" s="1173"/>
      <c r="Y64" s="1173"/>
      <c r="Z64" s="1173"/>
      <c r="AA64" s="1173"/>
      <c r="AB64" s="1173"/>
      <c r="AC64" s="1173"/>
      <c r="AD64" s="1173"/>
      <c r="AE64" s="1173"/>
      <c r="AF64" s="1173"/>
      <c r="AG64" s="1173"/>
      <c r="AH64" s="1173"/>
      <c r="AI64" s="1173"/>
      <c r="AJ64" s="1173"/>
      <c r="AK64" s="1173"/>
      <c r="AL64" s="1173"/>
      <c r="AM64" s="1173"/>
      <c r="AN64" s="1173"/>
      <c r="AO64" s="821"/>
      <c r="AP64" s="821"/>
      <c r="AQ64" s="821"/>
      <c r="AR64" s="821"/>
    </row>
    <row r="65" spans="1:17" x14ac:dyDescent="0.2">
      <c r="A65" s="1192"/>
      <c r="B65" s="821"/>
      <c r="C65" s="821"/>
      <c r="D65" s="1193"/>
      <c r="F65" s="1074"/>
      <c r="G65" s="1074"/>
      <c r="H65" s="1181"/>
      <c r="J65" s="1180"/>
      <c r="K65" s="1180"/>
      <c r="L65" s="1180"/>
      <c r="M65" s="1180"/>
      <c r="O65"/>
      <c r="Q65" s="821"/>
    </row>
    <row r="66" spans="1:17" x14ac:dyDescent="0.2">
      <c r="A66" s="1192" t="s">
        <v>380</v>
      </c>
      <c r="B66" s="821"/>
      <c r="C66" s="1180" t="s">
        <v>498</v>
      </c>
      <c r="D66" s="1514">
        <v>82300</v>
      </c>
      <c r="E66" s="1519">
        <v>86000</v>
      </c>
      <c r="F66" s="1519">
        <v>88500</v>
      </c>
      <c r="G66" s="1519">
        <v>94000</v>
      </c>
      <c r="H66" s="1519">
        <v>99000</v>
      </c>
      <c r="I66" s="1513"/>
      <c r="J66" s="1520"/>
      <c r="K66" s="1520"/>
      <c r="L66" s="1520"/>
      <c r="M66" s="1180"/>
      <c r="Q66" s="821"/>
    </row>
    <row r="67" spans="1:17" x14ac:dyDescent="0.2">
      <c r="A67" s="1192"/>
      <c r="B67" s="821"/>
      <c r="C67" s="821"/>
      <c r="D67" s="1074"/>
      <c r="F67" s="1074"/>
      <c r="G67" s="1074"/>
      <c r="H67" s="1074"/>
      <c r="I67" s="1513"/>
      <c r="J67" s="1545"/>
      <c r="K67" s="1545"/>
      <c r="L67" s="1521"/>
      <c r="M67" s="1180"/>
      <c r="Q67" s="821"/>
    </row>
    <row r="68" spans="1:17" x14ac:dyDescent="0.2">
      <c r="A68" s="821"/>
      <c r="B68" s="1074"/>
      <c r="C68" s="1152"/>
      <c r="D68" s="1152" t="s">
        <v>279</v>
      </c>
      <c r="E68" s="1152" t="s">
        <v>280</v>
      </c>
      <c r="F68" s="1152" t="s">
        <v>281</v>
      </c>
      <c r="G68" s="1152" t="s">
        <v>16</v>
      </c>
      <c r="H68" s="1152" t="s">
        <v>102</v>
      </c>
      <c r="I68" s="1513"/>
      <c r="J68" s="1545"/>
      <c r="K68" s="1545"/>
      <c r="L68" s="1520"/>
      <c r="M68" s="1180"/>
      <c r="Q68" s="821"/>
    </row>
    <row r="69" spans="1:17" x14ac:dyDescent="0.2">
      <c r="A69" s="681" t="s">
        <v>135</v>
      </c>
      <c r="B69" s="1074"/>
      <c r="C69" s="1194"/>
      <c r="D69" s="1517">
        <v>0.54</v>
      </c>
      <c r="E69" s="1517">
        <v>0.54</v>
      </c>
      <c r="F69" s="1517">
        <v>0.54</v>
      </c>
      <c r="G69" s="1517">
        <v>0.54</v>
      </c>
      <c r="H69" s="1517">
        <v>0.54</v>
      </c>
      <c r="I69" s="1513"/>
      <c r="J69" s="1546"/>
      <c r="K69" s="1545"/>
      <c r="L69" s="1520"/>
      <c r="M69" s="1180"/>
      <c r="Q69" s="821"/>
    </row>
    <row r="70" spans="1:17" x14ac:dyDescent="0.2">
      <c r="A70" s="1152" t="s">
        <v>687</v>
      </c>
      <c r="B70" s="1074"/>
      <c r="C70" s="1194"/>
      <c r="D70" s="1194">
        <v>0.5</v>
      </c>
      <c r="E70" s="1194">
        <v>0.5</v>
      </c>
      <c r="F70" s="1194">
        <v>0.5</v>
      </c>
      <c r="G70" s="1194">
        <v>0.5</v>
      </c>
      <c r="H70" s="1194">
        <v>0.5</v>
      </c>
      <c r="I70" s="1513"/>
      <c r="J70" s="1521"/>
      <c r="K70" s="1520"/>
      <c r="L70" s="1520"/>
      <c r="M70" s="1180"/>
    </row>
    <row r="71" spans="1:17" x14ac:dyDescent="0.2">
      <c r="A71" s="1152" t="s">
        <v>688</v>
      </c>
      <c r="B71" s="1074"/>
      <c r="C71" s="1194"/>
      <c r="D71" s="1194">
        <v>0.20000000000000007</v>
      </c>
      <c r="E71" s="1194">
        <v>0.20000000000000007</v>
      </c>
      <c r="F71" s="1194">
        <v>0.20000000000000007</v>
      </c>
      <c r="G71" s="1194">
        <v>0.20000000000000007</v>
      </c>
      <c r="H71" s="1194">
        <v>0.20000000000000007</v>
      </c>
      <c r="I71" s="1152"/>
      <c r="M71" s="1180"/>
    </row>
    <row r="72" spans="1:17" x14ac:dyDescent="0.2">
      <c r="A72" s="1152" t="s">
        <v>686</v>
      </c>
      <c r="B72" s="1074"/>
      <c r="C72" s="1194"/>
      <c r="D72" s="1194">
        <v>0.4</v>
      </c>
      <c r="E72" s="1194">
        <v>0.4</v>
      </c>
      <c r="F72" s="1194">
        <v>0.4</v>
      </c>
      <c r="G72" s="1194">
        <v>0.4</v>
      </c>
      <c r="H72" s="1194">
        <v>0.4</v>
      </c>
      <c r="K72" s="1463"/>
      <c r="L72" s="1498"/>
      <c r="M72" s="1180"/>
    </row>
    <row r="73" spans="1:17" x14ac:dyDescent="0.2">
      <c r="A73" s="1152" t="s">
        <v>688</v>
      </c>
      <c r="B73" s="1074"/>
      <c r="C73" s="1194"/>
      <c r="D73" s="1194">
        <v>0.30000000000000004</v>
      </c>
      <c r="E73" s="1194">
        <v>0.30000000000000004</v>
      </c>
      <c r="F73" s="1194">
        <v>0.30000000000000004</v>
      </c>
      <c r="G73" s="1194">
        <v>0.30000000000000004</v>
      </c>
      <c r="H73" s="1194">
        <v>0.30000000000000004</v>
      </c>
      <c r="I73" s="1498"/>
      <c r="J73" s="1498"/>
      <c r="K73" s="1498"/>
    </row>
    <row r="74" spans="1:17" x14ac:dyDescent="0.2">
      <c r="A74" s="1152"/>
      <c r="B74" s="1074"/>
      <c r="C74" s="1074"/>
      <c r="D74" s="821"/>
      <c r="E74" s="821"/>
      <c r="F74" s="821"/>
      <c r="G74" s="821"/>
      <c r="H74" s="821"/>
      <c r="I74" s="1515"/>
      <c r="J74" s="1515"/>
      <c r="K74" s="1516"/>
    </row>
    <row r="75" spans="1:17" x14ac:dyDescent="0.2">
      <c r="A75" s="681" t="s">
        <v>677</v>
      </c>
      <c r="B75" s="681"/>
      <c r="C75" s="681"/>
      <c r="D75" s="1195">
        <v>2018</v>
      </c>
      <c r="E75" s="1195">
        <v>2019</v>
      </c>
      <c r="F75" s="1195">
        <v>2020</v>
      </c>
      <c r="G75" s="1195">
        <v>2021</v>
      </c>
      <c r="H75" s="1195">
        <v>2022</v>
      </c>
      <c r="M75" s="1520"/>
    </row>
    <row r="76" spans="1:17" x14ac:dyDescent="0.2">
      <c r="A76" s="1152" t="s">
        <v>678</v>
      </c>
      <c r="B76" s="1152"/>
      <c r="C76" s="1152"/>
      <c r="D76" s="1461">
        <v>0.1603</v>
      </c>
      <c r="E76" s="1461">
        <v>0.17430000000000001</v>
      </c>
      <c r="F76" s="1461">
        <v>0.17430000000000001</v>
      </c>
      <c r="G76" s="1461">
        <v>0.1797</v>
      </c>
      <c r="H76" s="1461"/>
    </row>
    <row r="77" spans="1:17" x14ac:dyDescent="0.2">
      <c r="A77" s="1152" t="s">
        <v>679</v>
      </c>
      <c r="B77" s="1152"/>
      <c r="C77" s="1152"/>
      <c r="D77" s="1461">
        <v>6.8699999999999997E-2</v>
      </c>
      <c r="E77" s="1461">
        <v>7.4700000000000003E-2</v>
      </c>
      <c r="F77" s="1461">
        <v>7.4700000000000003E-2</v>
      </c>
      <c r="G77" s="1461">
        <v>7.9299999999999995E-2</v>
      </c>
      <c r="H77" s="1461"/>
      <c r="M77" s="1152"/>
    </row>
    <row r="78" spans="1:17" x14ac:dyDescent="0.2">
      <c r="A78" s="1152" t="s">
        <v>680</v>
      </c>
      <c r="B78" s="1152"/>
      <c r="C78" s="1152"/>
      <c r="D78" s="1462">
        <v>13350</v>
      </c>
      <c r="E78" s="1462">
        <v>13800</v>
      </c>
      <c r="F78" s="1462">
        <v>14200</v>
      </c>
      <c r="G78" s="1462">
        <v>14550</v>
      </c>
      <c r="H78" s="1498"/>
    </row>
    <row r="79" spans="1:17" x14ac:dyDescent="0.2">
      <c r="A79" s="681" t="s">
        <v>681</v>
      </c>
      <c r="B79" s="1152"/>
      <c r="C79" s="1152"/>
      <c r="D79" s="1461">
        <v>7.3999999999999996E-2</v>
      </c>
      <c r="E79" s="1461">
        <v>7.3999999999999996E-2</v>
      </c>
      <c r="F79" s="1461">
        <v>0.08</v>
      </c>
      <c r="G79" s="1461">
        <v>0.08</v>
      </c>
      <c r="H79" s="821"/>
    </row>
    <row r="80" spans="1:17" x14ac:dyDescent="0.2">
      <c r="A80" s="681" t="s">
        <v>682</v>
      </c>
      <c r="B80" s="1152"/>
      <c r="C80" s="1152"/>
      <c r="D80" s="1187">
        <v>0.08</v>
      </c>
      <c r="E80" s="1187">
        <v>0.08</v>
      </c>
      <c r="F80" s="1187">
        <v>0.08</v>
      </c>
      <c r="G80" s="1187">
        <v>0.08</v>
      </c>
      <c r="H80" s="821"/>
    </row>
    <row r="81" spans="1:8" x14ac:dyDescent="0.2">
      <c r="A81" s="1152"/>
      <c r="B81" s="1074"/>
      <c r="C81" s="1074"/>
      <c r="D81" s="1194"/>
      <c r="E81" s="1194"/>
      <c r="G81" s="821"/>
      <c r="H81" s="821"/>
    </row>
    <row r="82" spans="1:8" x14ac:dyDescent="0.2">
      <c r="G82" s="1498"/>
      <c r="H82" s="821"/>
    </row>
    <row r="83" spans="1:8" x14ac:dyDescent="0.2">
      <c r="A83" s="1541" t="s">
        <v>937</v>
      </c>
      <c r="B83" s="1542"/>
      <c r="C83" s="1542"/>
      <c r="D83" s="1542"/>
      <c r="E83" s="1542"/>
      <c r="F83" s="1542"/>
      <c r="G83" s="1543">
        <v>750</v>
      </c>
    </row>
    <row r="84" spans="1:8" x14ac:dyDescent="0.2">
      <c r="H84" s="1464"/>
    </row>
  </sheetData>
  <sheetProtection algorithmName="SHA-512" hashValue="MdUf+Gy+kgQcVruFmW0smhVMnUuhaWaJoYrYjP93c9qHPKFNu2w5RjsJ4x3qaBCxQrRicJjxNQcZCd5AcM78Ow==" saltValue="yDj8MLwEqYGz7BAt2kPrwA==" spinCount="100000" sheet="1" objects="1" scenarios="1"/>
  <phoneticPr fontId="0" type="noConversion"/>
  <printOptions headings="1" gridLines="1"/>
  <pageMargins left="0.74803149606299213" right="0.74803149606299213" top="0.98425196850393704" bottom="0.98425196850393704" header="0.51181102362204722" footer="0.51181102362204722"/>
  <pageSetup paperSize="9" scale="50" orientation="portrait"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K170"/>
  <sheetViews>
    <sheetView zoomScale="90" zoomScaleNormal="90" workbookViewId="0">
      <selection activeCell="C144" sqref="C144"/>
    </sheetView>
  </sheetViews>
  <sheetFormatPr defaultRowHeight="12.75" x14ac:dyDescent="0.2"/>
  <cols>
    <col min="1" max="1" width="3.7109375" style="1484" customWidth="1"/>
    <col min="2" max="2" width="14.140625" style="1499" customWidth="1"/>
    <col min="3" max="18" width="9.140625" style="1484"/>
    <col min="19" max="20" width="9.140625" style="1484" customWidth="1"/>
    <col min="21" max="16384" width="9.140625" style="1484"/>
  </cols>
  <sheetData>
    <row r="2" spans="2:21" ht="15.75" x14ac:dyDescent="0.25">
      <c r="B2" s="1483" t="s">
        <v>889</v>
      </c>
    </row>
    <row r="4" spans="2:21" hidden="1" x14ac:dyDescent="0.2">
      <c r="B4" s="1485" t="s">
        <v>369</v>
      </c>
      <c r="C4" s="1486">
        <v>43252</v>
      </c>
      <c r="D4" s="1487"/>
      <c r="E4" s="1488" t="s">
        <v>890</v>
      </c>
      <c r="F4" s="1489">
        <v>2.35E-2</v>
      </c>
      <c r="G4" s="1490"/>
      <c r="K4" s="1490"/>
      <c r="L4" s="1490"/>
      <c r="M4" s="1490"/>
      <c r="N4" s="1490"/>
      <c r="O4" s="1490"/>
      <c r="P4" s="1490"/>
      <c r="Q4" s="1490"/>
      <c r="R4" s="1490"/>
      <c r="T4" s="1160" t="s">
        <v>52</v>
      </c>
      <c r="U4" s="1196"/>
    </row>
    <row r="5" spans="2:21" hidden="1" x14ac:dyDescent="0.2">
      <c r="B5" s="1491" t="s">
        <v>501</v>
      </c>
      <c r="C5" s="1491">
        <v>1</v>
      </c>
      <c r="D5" s="1491">
        <v>2</v>
      </c>
      <c r="E5" s="1491">
        <v>3</v>
      </c>
      <c r="F5" s="1491">
        <v>4</v>
      </c>
      <c r="G5" s="1491">
        <v>5</v>
      </c>
      <c r="H5" s="1491">
        <v>6</v>
      </c>
      <c r="I5" s="1491">
        <v>7</v>
      </c>
      <c r="J5" s="1491">
        <v>8</v>
      </c>
      <c r="K5" s="1491">
        <v>9</v>
      </c>
      <c r="L5" s="1491">
        <v>10</v>
      </c>
      <c r="M5" s="1491">
        <v>11</v>
      </c>
      <c r="N5" s="1491">
        <v>12</v>
      </c>
      <c r="O5" s="1491">
        <v>13</v>
      </c>
      <c r="P5" s="1491">
        <v>14</v>
      </c>
      <c r="Q5" s="1491">
        <v>15</v>
      </c>
      <c r="R5" s="1491">
        <v>16</v>
      </c>
      <c r="S5" s="1491" t="s">
        <v>502</v>
      </c>
      <c r="T5" s="1160" t="s">
        <v>53</v>
      </c>
      <c r="U5" s="820"/>
    </row>
    <row r="6" spans="2:21" hidden="1" x14ac:dyDescent="0.2">
      <c r="B6" s="1492" t="s">
        <v>86</v>
      </c>
      <c r="C6" s="1493">
        <v>2662</v>
      </c>
      <c r="D6" s="1493">
        <v>2727</v>
      </c>
      <c r="E6" s="1493">
        <v>2810</v>
      </c>
      <c r="F6" s="1493">
        <v>2893</v>
      </c>
      <c r="G6" s="1493">
        <v>2977</v>
      </c>
      <c r="H6" s="1493">
        <v>3080</v>
      </c>
      <c r="I6" s="1493">
        <v>3201</v>
      </c>
      <c r="J6" s="1493">
        <v>3338</v>
      </c>
      <c r="K6" s="1493">
        <v>3494</v>
      </c>
      <c r="L6" s="1493">
        <v>3667</v>
      </c>
      <c r="M6" s="1493">
        <v>3859</v>
      </c>
      <c r="N6" s="1493">
        <v>4071</v>
      </c>
      <c r="O6" s="1492"/>
      <c r="P6" s="1492"/>
      <c r="Q6" s="1494"/>
      <c r="R6" s="1494"/>
      <c r="S6" s="1495">
        <f t="shared" ref="S6:S30" si="0">COUNTA(C6:R6)</f>
        <v>12</v>
      </c>
      <c r="T6" s="1197" t="s">
        <v>86</v>
      </c>
      <c r="U6" s="1198">
        <f>+N6/$N$6</f>
        <v>1</v>
      </c>
    </row>
    <row r="7" spans="2:21" hidden="1" x14ac:dyDescent="0.2">
      <c r="B7" s="1492" t="s">
        <v>87</v>
      </c>
      <c r="C7" s="1493">
        <v>2679</v>
      </c>
      <c r="D7" s="1493">
        <v>2807</v>
      </c>
      <c r="E7" s="1493">
        <v>2954</v>
      </c>
      <c r="F7" s="1493">
        <v>3101</v>
      </c>
      <c r="G7" s="1493">
        <v>3247</v>
      </c>
      <c r="H7" s="1493">
        <v>3410</v>
      </c>
      <c r="I7" s="1493">
        <v>3591</v>
      </c>
      <c r="J7" s="1493">
        <v>3788</v>
      </c>
      <c r="K7" s="1493">
        <v>4003</v>
      </c>
      <c r="L7" s="1493">
        <v>4234</v>
      </c>
      <c r="M7" s="1493">
        <v>4483</v>
      </c>
      <c r="N7" s="1493">
        <v>4748</v>
      </c>
      <c r="O7" s="1492"/>
      <c r="P7" s="1492"/>
      <c r="Q7" s="1494"/>
      <c r="R7" s="1494"/>
      <c r="S7" s="1495">
        <f t="shared" si="0"/>
        <v>12</v>
      </c>
      <c r="T7" s="1197" t="s">
        <v>87</v>
      </c>
      <c r="U7" s="1198">
        <f>+N7/$N$6</f>
        <v>1.166298206828789</v>
      </c>
    </row>
    <row r="8" spans="2:21" hidden="1" x14ac:dyDescent="0.2">
      <c r="B8" s="1492" t="s">
        <v>88</v>
      </c>
      <c r="C8" s="1493">
        <v>2689</v>
      </c>
      <c r="D8" s="1493">
        <v>2849</v>
      </c>
      <c r="E8" s="1493">
        <v>3036</v>
      </c>
      <c r="F8" s="1493">
        <v>3222</v>
      </c>
      <c r="G8" s="1493">
        <v>3408</v>
      </c>
      <c r="H8" s="1493">
        <v>3618</v>
      </c>
      <c r="I8" s="1493">
        <v>3852</v>
      </c>
      <c r="J8" s="1493">
        <v>4114</v>
      </c>
      <c r="K8" s="1493">
        <v>4398</v>
      </c>
      <c r="L8" s="1493">
        <v>4708</v>
      </c>
      <c r="M8" s="1493">
        <v>5042</v>
      </c>
      <c r="N8" s="1493">
        <v>5403</v>
      </c>
      <c r="O8" s="1492"/>
      <c r="P8" s="1492"/>
      <c r="Q8" s="1494"/>
      <c r="R8" s="1494"/>
      <c r="S8" s="1495">
        <f t="shared" si="0"/>
        <v>12</v>
      </c>
      <c r="T8" s="1197" t="s">
        <v>88</v>
      </c>
      <c r="U8" s="1198">
        <f>+N8/$N$6</f>
        <v>1.3271923360353721</v>
      </c>
    </row>
    <row r="9" spans="2:21" hidden="1" x14ac:dyDescent="0.2">
      <c r="B9" s="1492" t="s">
        <v>89</v>
      </c>
      <c r="C9" s="1493">
        <v>3459</v>
      </c>
      <c r="D9" s="1493">
        <v>3589</v>
      </c>
      <c r="E9" s="1493">
        <v>3704</v>
      </c>
      <c r="F9" s="1493">
        <v>3938</v>
      </c>
      <c r="G9" s="1493">
        <v>4199</v>
      </c>
      <c r="H9" s="1493">
        <v>4436</v>
      </c>
      <c r="I9" s="1493">
        <v>4672</v>
      </c>
      <c r="J9" s="1493">
        <v>4910</v>
      </c>
      <c r="K9" s="1493">
        <v>5147</v>
      </c>
      <c r="L9" s="1493">
        <v>5383</v>
      </c>
      <c r="M9" s="1493">
        <v>5619</v>
      </c>
      <c r="N9" s="1493">
        <v>5859</v>
      </c>
      <c r="O9" s="1492"/>
      <c r="P9" s="1492"/>
      <c r="Q9" s="1494"/>
      <c r="R9" s="1494"/>
      <c r="S9" s="1495">
        <f t="shared" si="0"/>
        <v>12</v>
      </c>
      <c r="T9" s="1197" t="s">
        <v>89</v>
      </c>
      <c r="U9" s="1198">
        <f>+N9/$N$6</f>
        <v>1.4392041267501843</v>
      </c>
    </row>
    <row r="10" spans="2:21" hidden="1" x14ac:dyDescent="0.2">
      <c r="B10" s="1492">
        <v>1</v>
      </c>
      <c r="C10" s="1493">
        <v>1646</v>
      </c>
      <c r="D10" s="1493">
        <v>1713</v>
      </c>
      <c r="E10" s="1493">
        <v>1777</v>
      </c>
      <c r="F10" s="1493">
        <v>1807</v>
      </c>
      <c r="G10" s="1493">
        <v>1842</v>
      </c>
      <c r="H10" s="1493">
        <v>1876</v>
      </c>
      <c r="I10" s="1493">
        <v>1922</v>
      </c>
      <c r="J10" s="1494"/>
      <c r="K10" s="1494"/>
      <c r="L10" s="1494"/>
      <c r="M10" s="1494"/>
      <c r="N10" s="1494"/>
      <c r="O10" s="1494"/>
      <c r="P10" s="1494"/>
      <c r="Q10" s="1494"/>
      <c r="R10" s="1494"/>
      <c r="S10" s="1495">
        <f t="shared" si="0"/>
        <v>7</v>
      </c>
      <c r="T10" s="1197">
        <v>1</v>
      </c>
      <c r="U10" s="1198">
        <f>+I10/$N$6</f>
        <v>0.47211987226725621</v>
      </c>
    </row>
    <row r="11" spans="2:21" hidden="1" x14ac:dyDescent="0.2">
      <c r="B11" s="1492">
        <v>2</v>
      </c>
      <c r="C11" s="1493">
        <v>1682</v>
      </c>
      <c r="D11" s="1493">
        <v>1746</v>
      </c>
      <c r="E11" s="1493">
        <v>1807</v>
      </c>
      <c r="F11" s="1493">
        <v>1876</v>
      </c>
      <c r="G11" s="1493">
        <v>1922</v>
      </c>
      <c r="H11" s="1493">
        <v>1975</v>
      </c>
      <c r="I11" s="1493">
        <v>2039</v>
      </c>
      <c r="J11" s="1493">
        <v>2099</v>
      </c>
      <c r="K11" s="1493"/>
      <c r="L11" s="1493"/>
      <c r="M11" s="1493"/>
      <c r="N11" s="1493"/>
      <c r="O11" s="1494"/>
      <c r="P11" s="1494"/>
      <c r="Q11" s="1494"/>
      <c r="R11" s="1494"/>
      <c r="S11" s="1495">
        <f t="shared" si="0"/>
        <v>8</v>
      </c>
      <c r="T11" s="1197">
        <v>2</v>
      </c>
      <c r="U11" s="1198">
        <f>+J11/$N$6</f>
        <v>0.51559813313682146</v>
      </c>
    </row>
    <row r="12" spans="2:21" hidden="1" x14ac:dyDescent="0.2">
      <c r="B12" s="1492">
        <v>3</v>
      </c>
      <c r="C12" s="1493">
        <v>1682</v>
      </c>
      <c r="D12" s="1493">
        <v>1807</v>
      </c>
      <c r="E12" s="1493">
        <v>1876</v>
      </c>
      <c r="F12" s="1493">
        <v>1975</v>
      </c>
      <c r="G12" s="1493">
        <v>2039</v>
      </c>
      <c r="H12" s="1493">
        <v>2099</v>
      </c>
      <c r="I12" s="1493">
        <v>2159</v>
      </c>
      <c r="J12" s="1493">
        <v>2217</v>
      </c>
      <c r="K12" s="1493">
        <v>2275</v>
      </c>
      <c r="L12" s="1493"/>
      <c r="M12" s="1493"/>
      <c r="N12" s="1493"/>
      <c r="O12" s="1494"/>
      <c r="P12" s="1494"/>
      <c r="Q12" s="1494"/>
      <c r="R12" s="1494"/>
      <c r="S12" s="1495">
        <f t="shared" si="0"/>
        <v>9</v>
      </c>
      <c r="T12" s="1197">
        <v>3</v>
      </c>
      <c r="U12" s="1198">
        <f>+K12/$N$6</f>
        <v>0.55883075411446814</v>
      </c>
    </row>
    <row r="13" spans="2:21" hidden="1" x14ac:dyDescent="0.2">
      <c r="B13" s="1492">
        <v>4</v>
      </c>
      <c r="C13" s="1493">
        <v>1713</v>
      </c>
      <c r="D13" s="1493">
        <v>1777</v>
      </c>
      <c r="E13" s="1493">
        <v>1842</v>
      </c>
      <c r="F13" s="1493">
        <v>1922</v>
      </c>
      <c r="G13" s="1493">
        <v>2039</v>
      </c>
      <c r="H13" s="1493">
        <v>2099</v>
      </c>
      <c r="I13" s="1493">
        <v>2159</v>
      </c>
      <c r="J13" s="1493">
        <v>2217</v>
      </c>
      <c r="K13" s="1493">
        <v>2275</v>
      </c>
      <c r="L13" s="1493">
        <v>2330</v>
      </c>
      <c r="M13" s="1493">
        <v>2386</v>
      </c>
      <c r="N13" s="1493"/>
      <c r="O13" s="1493"/>
      <c r="P13" s="1494"/>
      <c r="Q13" s="1494"/>
      <c r="R13" s="1494"/>
      <c r="S13" s="1495">
        <f t="shared" si="0"/>
        <v>11</v>
      </c>
      <c r="T13" s="1197">
        <v>4</v>
      </c>
      <c r="U13" s="1198">
        <f>+M13/$N$6</f>
        <v>0.58609678211741589</v>
      </c>
    </row>
    <row r="14" spans="2:21" hidden="1" x14ac:dyDescent="0.2">
      <c r="B14" s="1492">
        <v>5</v>
      </c>
      <c r="C14" s="1493">
        <v>1746</v>
      </c>
      <c r="D14" s="1493">
        <v>1777</v>
      </c>
      <c r="E14" s="1493">
        <v>1876</v>
      </c>
      <c r="F14" s="1493">
        <v>1975</v>
      </c>
      <c r="G14" s="1493">
        <v>2099</v>
      </c>
      <c r="H14" s="1493">
        <v>2159</v>
      </c>
      <c r="I14" s="1493">
        <v>2217</v>
      </c>
      <c r="J14" s="1493">
        <v>2275</v>
      </c>
      <c r="K14" s="1493">
        <v>2330</v>
      </c>
      <c r="L14" s="1493">
        <v>2386</v>
      </c>
      <c r="M14" s="1493">
        <v>2442</v>
      </c>
      <c r="N14" s="1493">
        <v>2506</v>
      </c>
      <c r="O14" s="1493"/>
      <c r="P14" s="1494"/>
      <c r="Q14" s="1494"/>
      <c r="R14" s="1494"/>
      <c r="S14" s="1495">
        <f t="shared" si="0"/>
        <v>12</v>
      </c>
      <c r="T14" s="1197">
        <v>5</v>
      </c>
      <c r="U14" s="1198">
        <f>+N14/$N$6</f>
        <v>0.61557356914762962</v>
      </c>
    </row>
    <row r="15" spans="2:21" hidden="1" x14ac:dyDescent="0.2">
      <c r="B15" s="1492">
        <v>6</v>
      </c>
      <c r="C15" s="1493">
        <v>1807</v>
      </c>
      <c r="D15" s="1493">
        <v>1876</v>
      </c>
      <c r="E15" s="1493">
        <v>2099</v>
      </c>
      <c r="F15" s="1493">
        <v>2217</v>
      </c>
      <c r="G15" s="1493">
        <v>2275</v>
      </c>
      <c r="H15" s="1493">
        <v>2330</v>
      </c>
      <c r="I15" s="1493">
        <v>2386</v>
      </c>
      <c r="J15" s="1493">
        <v>2442</v>
      </c>
      <c r="K15" s="1493">
        <v>2506</v>
      </c>
      <c r="L15" s="1493">
        <v>2569</v>
      </c>
      <c r="M15" s="1493">
        <v>2626</v>
      </c>
      <c r="N15" s="1493"/>
      <c r="O15" s="1493"/>
      <c r="P15" s="1494"/>
      <c r="Q15" s="1494"/>
      <c r="R15" s="1494"/>
      <c r="S15" s="1495">
        <f t="shared" si="0"/>
        <v>11</v>
      </c>
      <c r="T15" s="1197">
        <v>6</v>
      </c>
      <c r="U15" s="1198">
        <f>+M15/$N$6</f>
        <v>0.64505035617784323</v>
      </c>
    </row>
    <row r="16" spans="2:21" hidden="1" x14ac:dyDescent="0.2">
      <c r="B16" s="1492">
        <v>7</v>
      </c>
      <c r="C16" s="1493">
        <v>1922</v>
      </c>
      <c r="D16" s="1493">
        <v>1975</v>
      </c>
      <c r="E16" s="1493">
        <v>2099</v>
      </c>
      <c r="F16" s="1493">
        <v>2330</v>
      </c>
      <c r="G16" s="1493">
        <v>2442</v>
      </c>
      <c r="H16" s="1493">
        <v>2506</v>
      </c>
      <c r="I16" s="1493">
        <v>2569</v>
      </c>
      <c r="J16" s="1493">
        <v>2626</v>
      </c>
      <c r="K16" s="1493">
        <v>2689</v>
      </c>
      <c r="L16" s="1493">
        <v>2755</v>
      </c>
      <c r="M16" s="1493">
        <v>2820</v>
      </c>
      <c r="N16" s="1493">
        <v>2896</v>
      </c>
      <c r="O16" s="1493"/>
      <c r="P16" s="1494"/>
      <c r="Q16" s="1494"/>
      <c r="R16" s="1494"/>
      <c r="S16" s="1495">
        <f t="shared" si="0"/>
        <v>12</v>
      </c>
      <c r="T16" s="1197">
        <v>7</v>
      </c>
      <c r="U16" s="1198">
        <f>+N16/$N$6</f>
        <v>0.71137312699582411</v>
      </c>
    </row>
    <row r="17" spans="2:21" hidden="1" x14ac:dyDescent="0.2">
      <c r="B17" s="1492">
        <v>8</v>
      </c>
      <c r="C17" s="1493">
        <v>2159</v>
      </c>
      <c r="D17" s="1493">
        <v>2217</v>
      </c>
      <c r="E17" s="1493">
        <v>2330</v>
      </c>
      <c r="F17" s="1493">
        <v>2569</v>
      </c>
      <c r="G17" s="1493">
        <v>2689</v>
      </c>
      <c r="H17" s="1493">
        <v>2820</v>
      </c>
      <c r="I17" s="1493">
        <v>2896</v>
      </c>
      <c r="J17" s="1493">
        <v>2965</v>
      </c>
      <c r="K17" s="1493">
        <v>3026</v>
      </c>
      <c r="L17" s="1493">
        <v>3092</v>
      </c>
      <c r="M17" s="1493">
        <v>3158</v>
      </c>
      <c r="N17" s="1493">
        <v>3219</v>
      </c>
      <c r="O17" s="1493">
        <v>3276</v>
      </c>
      <c r="P17" s="1494"/>
      <c r="Q17" s="1494"/>
      <c r="R17" s="1494"/>
      <c r="S17" s="1495">
        <f t="shared" si="0"/>
        <v>13</v>
      </c>
      <c r="T17" s="1197">
        <v>8</v>
      </c>
      <c r="U17" s="1198">
        <f>+O17/$N$6</f>
        <v>0.80471628592483424</v>
      </c>
    </row>
    <row r="18" spans="2:21" hidden="1" x14ac:dyDescent="0.2">
      <c r="B18" s="1492">
        <v>9</v>
      </c>
      <c r="C18" s="1493">
        <v>2442</v>
      </c>
      <c r="D18" s="1493">
        <v>2569</v>
      </c>
      <c r="E18" s="1493">
        <v>2820</v>
      </c>
      <c r="F18" s="1493">
        <v>2965</v>
      </c>
      <c r="G18" s="1493">
        <v>3092</v>
      </c>
      <c r="H18" s="1493">
        <v>3219</v>
      </c>
      <c r="I18" s="1493">
        <v>3339</v>
      </c>
      <c r="J18" s="1493">
        <v>3459</v>
      </c>
      <c r="K18" s="1493">
        <v>3589</v>
      </c>
      <c r="L18" s="1493">
        <v>3704</v>
      </c>
      <c r="M18" s="1493"/>
      <c r="N18" s="1493"/>
      <c r="O18" s="1493"/>
      <c r="P18" s="1493"/>
      <c r="Q18" s="1493"/>
      <c r="R18" s="1493"/>
      <c r="S18" s="1495">
        <f t="shared" si="0"/>
        <v>10</v>
      </c>
      <c r="T18" s="1197">
        <v>9</v>
      </c>
      <c r="U18" s="1198">
        <f>+K18/$N$6</f>
        <v>0.88160157209530832</v>
      </c>
    </row>
    <row r="19" spans="2:21" hidden="1" x14ac:dyDescent="0.2">
      <c r="B19" s="1492">
        <v>10</v>
      </c>
      <c r="C19" s="1493">
        <v>2442</v>
      </c>
      <c r="D19" s="1493">
        <v>2689</v>
      </c>
      <c r="E19" s="1493">
        <v>2820</v>
      </c>
      <c r="F19" s="1493">
        <v>2965</v>
      </c>
      <c r="G19" s="1493">
        <v>3092</v>
      </c>
      <c r="H19" s="1493">
        <v>3219</v>
      </c>
      <c r="I19" s="1493">
        <v>3339</v>
      </c>
      <c r="J19" s="1493">
        <v>3459</v>
      </c>
      <c r="K19" s="1493">
        <v>3589</v>
      </c>
      <c r="L19" s="1493">
        <v>3704</v>
      </c>
      <c r="M19" s="1493">
        <v>3823</v>
      </c>
      <c r="N19" s="1493">
        <v>3938</v>
      </c>
      <c r="O19" s="1493">
        <v>4071</v>
      </c>
      <c r="P19" s="1493"/>
      <c r="Q19" s="1493"/>
      <c r="R19" s="1493"/>
      <c r="S19" s="1495">
        <f t="shared" si="0"/>
        <v>13</v>
      </c>
      <c r="T19" s="1197">
        <v>10</v>
      </c>
      <c r="U19" s="1198">
        <f>+O19/$N$6</f>
        <v>1</v>
      </c>
    </row>
    <row r="20" spans="2:21" hidden="1" x14ac:dyDescent="0.2">
      <c r="B20" s="1492">
        <v>11</v>
      </c>
      <c r="C20" s="1493">
        <v>2569</v>
      </c>
      <c r="D20" s="1493">
        <v>2689</v>
      </c>
      <c r="E20" s="1493">
        <v>2823</v>
      </c>
      <c r="F20" s="1493">
        <v>2967</v>
      </c>
      <c r="G20" s="1493">
        <v>3101</v>
      </c>
      <c r="H20" s="1493">
        <v>3236</v>
      </c>
      <c r="I20" s="1493">
        <v>3372</v>
      </c>
      <c r="J20" s="1493">
        <v>3589</v>
      </c>
      <c r="K20" s="1493">
        <v>3734</v>
      </c>
      <c r="L20" s="1493">
        <v>3878</v>
      </c>
      <c r="M20" s="1493">
        <v>4023</v>
      </c>
      <c r="N20" s="1493">
        <v>4169</v>
      </c>
      <c r="O20" s="1493">
        <v>4314</v>
      </c>
      <c r="P20" s="1493">
        <v>4459</v>
      </c>
      <c r="Q20" s="1493">
        <v>4605</v>
      </c>
      <c r="R20" s="1493">
        <v>4748</v>
      </c>
      <c r="S20" s="1495">
        <f t="shared" si="0"/>
        <v>16</v>
      </c>
      <c r="T20" s="1197">
        <v>11</v>
      </c>
      <c r="U20" s="1198">
        <f>+R20/$N$6</f>
        <v>1.166298206828789</v>
      </c>
    </row>
    <row r="21" spans="2:21" hidden="1" x14ac:dyDescent="0.2">
      <c r="B21" s="1492">
        <v>12</v>
      </c>
      <c r="C21" s="1493">
        <v>3459</v>
      </c>
      <c r="D21" s="1493">
        <v>3589</v>
      </c>
      <c r="E21" s="1493">
        <v>3704</v>
      </c>
      <c r="F21" s="1493">
        <v>3823</v>
      </c>
      <c r="G21" s="1493">
        <v>3938</v>
      </c>
      <c r="H21" s="1493">
        <v>4071</v>
      </c>
      <c r="I21" s="1493">
        <v>4326</v>
      </c>
      <c r="J21" s="1493">
        <v>4446</v>
      </c>
      <c r="K21" s="1493">
        <v>4569</v>
      </c>
      <c r="L21" s="1493">
        <v>4686</v>
      </c>
      <c r="M21" s="1493">
        <v>4812</v>
      </c>
      <c r="N21" s="1493">
        <v>4934</v>
      </c>
      <c r="O21" s="1493">
        <v>5052</v>
      </c>
      <c r="P21" s="1493">
        <v>5173</v>
      </c>
      <c r="Q21" s="1493">
        <v>5325</v>
      </c>
      <c r="R21" s="1493">
        <v>5403</v>
      </c>
      <c r="S21" s="1495">
        <f t="shared" si="0"/>
        <v>16</v>
      </c>
      <c r="T21" s="1197">
        <v>12</v>
      </c>
      <c r="U21" s="1198">
        <f>+R21/$N$6</f>
        <v>1.3271923360353721</v>
      </c>
    </row>
    <row r="22" spans="2:21" hidden="1" x14ac:dyDescent="0.2">
      <c r="B22" s="1492">
        <v>13</v>
      </c>
      <c r="C22" s="1493">
        <v>4199</v>
      </c>
      <c r="D22" s="1493">
        <v>4326</v>
      </c>
      <c r="E22" s="1493">
        <v>4446</v>
      </c>
      <c r="F22" s="1493">
        <v>4569</v>
      </c>
      <c r="G22" s="1493">
        <v>4686</v>
      </c>
      <c r="H22" s="1493">
        <v>4934</v>
      </c>
      <c r="I22" s="1493">
        <v>5052</v>
      </c>
      <c r="J22" s="1493">
        <v>5173</v>
      </c>
      <c r="K22" s="1493">
        <v>5325</v>
      </c>
      <c r="L22" s="1493">
        <v>5479</v>
      </c>
      <c r="M22" s="1493">
        <v>5631</v>
      </c>
      <c r="N22" s="1493">
        <v>5785</v>
      </c>
      <c r="O22" s="1493">
        <v>5859</v>
      </c>
      <c r="P22" s="1493"/>
      <c r="Q22" s="1493"/>
      <c r="R22" s="1493"/>
      <c r="S22" s="1495">
        <f t="shared" si="0"/>
        <v>13</v>
      </c>
      <c r="T22" s="1197">
        <v>13</v>
      </c>
      <c r="U22" s="1198">
        <f>+O22/$N$6</f>
        <v>1.4392041267501843</v>
      </c>
    </row>
    <row r="23" spans="2:21" hidden="1" x14ac:dyDescent="0.2">
      <c r="B23" s="1492">
        <v>14</v>
      </c>
      <c r="C23" s="1493">
        <v>4812</v>
      </c>
      <c r="D23" s="1493">
        <v>4934</v>
      </c>
      <c r="E23" s="1493">
        <v>5173</v>
      </c>
      <c r="F23" s="1493">
        <v>5325</v>
      </c>
      <c r="G23" s="1493">
        <v>5479</v>
      </c>
      <c r="H23" s="1493">
        <v>5631</v>
      </c>
      <c r="I23" s="1493">
        <v>5785</v>
      </c>
      <c r="J23" s="1493">
        <v>5940</v>
      </c>
      <c r="K23" s="1493">
        <v>6101</v>
      </c>
      <c r="L23" s="1493">
        <v>6267</v>
      </c>
      <c r="M23" s="1493">
        <v>6438</v>
      </c>
      <c r="N23" s="1493"/>
      <c r="O23" s="1493"/>
      <c r="P23" s="1493"/>
      <c r="Q23" s="1493"/>
      <c r="R23" s="1493"/>
      <c r="S23" s="1495">
        <f t="shared" si="0"/>
        <v>11</v>
      </c>
      <c r="T23" s="1197">
        <v>14</v>
      </c>
      <c r="U23" s="1198">
        <f>+M23/$N$6</f>
        <v>1.5814296241709653</v>
      </c>
    </row>
    <row r="24" spans="2:21" hidden="1" x14ac:dyDescent="0.2">
      <c r="B24" s="1492">
        <v>15</v>
      </c>
      <c r="C24" s="1493">
        <v>5052</v>
      </c>
      <c r="D24" s="1493">
        <v>5173</v>
      </c>
      <c r="E24" s="1493">
        <v>5325</v>
      </c>
      <c r="F24" s="1493">
        <v>5631</v>
      </c>
      <c r="G24" s="1493">
        <v>5785</v>
      </c>
      <c r="H24" s="1493">
        <v>5940</v>
      </c>
      <c r="I24" s="1493">
        <v>6101</v>
      </c>
      <c r="J24" s="1493">
        <v>6267</v>
      </c>
      <c r="K24" s="1493">
        <v>6438</v>
      </c>
      <c r="L24" s="1493">
        <v>6643</v>
      </c>
      <c r="M24" s="1493">
        <v>6855</v>
      </c>
      <c r="N24" s="1493">
        <v>7072</v>
      </c>
      <c r="O24" s="1493"/>
      <c r="P24" s="1493"/>
      <c r="Q24" s="1493"/>
      <c r="R24" s="1493"/>
      <c r="S24" s="1495">
        <f t="shared" si="0"/>
        <v>12</v>
      </c>
      <c r="T24" s="1197">
        <v>15</v>
      </c>
      <c r="U24" s="1198">
        <f>+N24/$N$6</f>
        <v>1.7371653156472611</v>
      </c>
    </row>
    <row r="25" spans="2:21" hidden="1" x14ac:dyDescent="0.2">
      <c r="B25" s="1492">
        <v>16</v>
      </c>
      <c r="C25" s="1493">
        <v>5479</v>
      </c>
      <c r="D25" s="1493">
        <v>5631</v>
      </c>
      <c r="E25" s="1493">
        <v>5785</v>
      </c>
      <c r="F25" s="1493">
        <v>6101</v>
      </c>
      <c r="G25" s="1493">
        <v>6267</v>
      </c>
      <c r="H25" s="1493">
        <v>6438</v>
      </c>
      <c r="I25" s="1493">
        <v>6643</v>
      </c>
      <c r="J25" s="1493">
        <v>6855</v>
      </c>
      <c r="K25" s="1493">
        <v>7072</v>
      </c>
      <c r="L25" s="1493">
        <v>7300</v>
      </c>
      <c r="M25" s="1493">
        <v>7530</v>
      </c>
      <c r="N25" s="1493">
        <v>7771</v>
      </c>
      <c r="O25" s="1493"/>
      <c r="P25" s="1493"/>
      <c r="Q25" s="1493"/>
      <c r="R25" s="1493"/>
      <c r="S25" s="1495">
        <f t="shared" si="0"/>
        <v>12</v>
      </c>
      <c r="T25" s="1197">
        <v>16</v>
      </c>
      <c r="U25" s="1198">
        <f>+N25/$N$6</f>
        <v>1.9088676000982561</v>
      </c>
    </row>
    <row r="26" spans="2:21" hidden="1" x14ac:dyDescent="0.2">
      <c r="B26" s="1492">
        <v>17</v>
      </c>
      <c r="C26" s="1493">
        <v>5940</v>
      </c>
      <c r="D26" s="1493">
        <v>6101</v>
      </c>
      <c r="E26" s="1493">
        <v>6267</v>
      </c>
      <c r="F26" s="1493">
        <v>6643</v>
      </c>
      <c r="G26" s="1493">
        <v>6855</v>
      </c>
      <c r="H26" s="1493">
        <v>7072</v>
      </c>
      <c r="I26" s="1493">
        <v>7300</v>
      </c>
      <c r="J26" s="1493">
        <v>7530</v>
      </c>
      <c r="K26" s="1493">
        <v>7771</v>
      </c>
      <c r="L26" s="1493">
        <v>8020</v>
      </c>
      <c r="M26" s="1493">
        <v>8275</v>
      </c>
      <c r="N26" s="1493">
        <v>8539</v>
      </c>
      <c r="O26" s="1493"/>
      <c r="P26" s="1493"/>
      <c r="Q26" s="1493"/>
      <c r="R26" s="1493"/>
      <c r="S26" s="1495">
        <f t="shared" si="0"/>
        <v>12</v>
      </c>
      <c r="T26" s="1197">
        <v>17</v>
      </c>
      <c r="U26" s="1198">
        <f>+N26/$N$6</f>
        <v>2.0975190370916237</v>
      </c>
    </row>
    <row r="27" spans="2:21" hidden="1" x14ac:dyDescent="0.2">
      <c r="B27" s="1492" t="s">
        <v>116</v>
      </c>
      <c r="C27" s="1493">
        <v>1594.2</v>
      </c>
      <c r="D27" s="1493">
        <v>1620.1</v>
      </c>
      <c r="E27" s="1493">
        <v>1646</v>
      </c>
      <c r="F27" s="1493">
        <v>1713</v>
      </c>
      <c r="G27" s="1493">
        <v>1777</v>
      </c>
      <c r="H27" s="1493">
        <v>1807</v>
      </c>
      <c r="I27" s="1493">
        <v>1842</v>
      </c>
      <c r="J27" s="1493">
        <v>1876</v>
      </c>
      <c r="K27" s="1493">
        <v>1922</v>
      </c>
      <c r="L27" s="1494"/>
      <c r="M27" s="1494"/>
      <c r="N27" s="1494"/>
      <c r="O27" s="1494"/>
      <c r="P27" s="1494"/>
      <c r="Q27" s="1494"/>
      <c r="R27" s="1494"/>
      <c r="S27" s="1495">
        <f t="shared" si="0"/>
        <v>9</v>
      </c>
      <c r="T27" s="1197" t="s">
        <v>116</v>
      </c>
      <c r="U27" s="1198">
        <f>+K27/$N$6</f>
        <v>0.47211987226725621</v>
      </c>
    </row>
    <row r="28" spans="2:21" hidden="1" x14ac:dyDescent="0.2">
      <c r="B28" s="1492" t="s">
        <v>117</v>
      </c>
      <c r="C28" s="1493">
        <v>1682</v>
      </c>
      <c r="D28" s="1493">
        <v>1746</v>
      </c>
      <c r="E28" s="1493">
        <v>1807</v>
      </c>
      <c r="F28" s="1493">
        <v>1876</v>
      </c>
      <c r="G28" s="1493">
        <v>1922</v>
      </c>
      <c r="H28" s="1493">
        <v>1975</v>
      </c>
      <c r="I28" s="1493">
        <v>2039</v>
      </c>
      <c r="J28" s="1493">
        <v>2099</v>
      </c>
      <c r="K28" s="1493"/>
      <c r="L28" s="1494"/>
      <c r="M28" s="1494"/>
      <c r="N28" s="1494"/>
      <c r="O28" s="1494"/>
      <c r="P28" s="1494"/>
      <c r="Q28" s="1494"/>
      <c r="R28" s="1494"/>
      <c r="S28" s="1495">
        <f t="shared" si="0"/>
        <v>8</v>
      </c>
      <c r="T28" s="1197" t="s">
        <v>117</v>
      </c>
      <c r="U28" s="1198">
        <f>+J28/$N$6</f>
        <v>0.51559813313682146</v>
      </c>
    </row>
    <row r="29" spans="2:21" hidden="1" x14ac:dyDescent="0.2">
      <c r="B29" s="1492" t="s">
        <v>118</v>
      </c>
      <c r="C29" s="1493">
        <v>1682</v>
      </c>
      <c r="D29" s="1493">
        <v>1807</v>
      </c>
      <c r="E29" s="1493">
        <v>1876</v>
      </c>
      <c r="F29" s="1493">
        <v>1975</v>
      </c>
      <c r="G29" s="1493">
        <v>2039</v>
      </c>
      <c r="H29" s="1493">
        <v>2099</v>
      </c>
      <c r="I29" s="1493">
        <v>2159</v>
      </c>
      <c r="J29" s="1493">
        <v>2217</v>
      </c>
      <c r="K29" s="1493">
        <v>2275</v>
      </c>
      <c r="L29" s="1494"/>
      <c r="M29" s="1494"/>
      <c r="N29" s="1494"/>
      <c r="O29" s="1494"/>
      <c r="P29" s="1494"/>
      <c r="Q29" s="1494"/>
      <c r="R29" s="1494"/>
      <c r="S29" s="1495">
        <f>COUNTA(C29:R29)</f>
        <v>9</v>
      </c>
      <c r="T29" s="1197" t="s">
        <v>118</v>
      </c>
      <c r="U29" s="1198">
        <f>+I29/$N$6</f>
        <v>0.53033652665192832</v>
      </c>
    </row>
    <row r="30" spans="2:21" hidden="1" x14ac:dyDescent="0.2">
      <c r="B30" s="1492" t="s">
        <v>370</v>
      </c>
      <c r="C30" s="1493">
        <v>1344.5</v>
      </c>
      <c r="D30" s="1494"/>
      <c r="E30" s="1494"/>
      <c r="F30" s="1494"/>
      <c r="G30" s="1494"/>
      <c r="H30" s="1494"/>
      <c r="I30" s="1494"/>
      <c r="J30" s="1494"/>
      <c r="K30" s="1494"/>
      <c r="L30" s="1494"/>
      <c r="M30" s="1494"/>
      <c r="N30" s="1494"/>
      <c r="O30" s="1494"/>
      <c r="P30" s="1494"/>
      <c r="Q30" s="1494"/>
      <c r="R30" s="1494"/>
      <c r="S30" s="1495">
        <f t="shared" si="0"/>
        <v>1</v>
      </c>
      <c r="T30" s="1197" t="s">
        <v>370</v>
      </c>
      <c r="U30" s="1198">
        <f>+C30/$N$6</f>
        <v>0.33026283468435275</v>
      </c>
    </row>
    <row r="31" spans="2:21" hidden="1" x14ac:dyDescent="0.2"/>
    <row r="32" spans="2:21" hidden="1" x14ac:dyDescent="0.2">
      <c r="B32" s="1485" t="s">
        <v>369</v>
      </c>
      <c r="C32" s="1486">
        <v>43466</v>
      </c>
      <c r="D32" s="1487"/>
      <c r="E32" s="1496" t="s">
        <v>891</v>
      </c>
      <c r="F32" s="1497"/>
      <c r="G32" s="1490"/>
      <c r="K32" s="1490"/>
      <c r="L32" s="1490"/>
      <c r="M32" s="1490"/>
      <c r="N32" s="1490"/>
      <c r="O32" s="1490"/>
      <c r="P32" s="1490"/>
      <c r="Q32" s="1490"/>
      <c r="R32" s="1490"/>
      <c r="T32" s="1160" t="s">
        <v>52</v>
      </c>
      <c r="U32" s="1196"/>
    </row>
    <row r="33" spans="2:37" hidden="1" x14ac:dyDescent="0.2">
      <c r="B33" s="1491" t="s">
        <v>501</v>
      </c>
      <c r="C33" s="1491">
        <v>1</v>
      </c>
      <c r="D33" s="1491">
        <v>2</v>
      </c>
      <c r="E33" s="1491">
        <v>3</v>
      </c>
      <c r="F33" s="1491">
        <v>4</v>
      </c>
      <c r="G33" s="1491">
        <v>5</v>
      </c>
      <c r="H33" s="1491">
        <v>6</v>
      </c>
      <c r="I33" s="1491">
        <v>7</v>
      </c>
      <c r="J33" s="1491">
        <v>8</v>
      </c>
      <c r="K33" s="1491">
        <v>9</v>
      </c>
      <c r="L33" s="1491">
        <v>10</v>
      </c>
      <c r="M33" s="1491">
        <v>11</v>
      </c>
      <c r="N33" s="1491">
        <v>12</v>
      </c>
      <c r="O33" s="1491">
        <v>13</v>
      </c>
      <c r="P33" s="1491">
        <v>14</v>
      </c>
      <c r="Q33" s="1491">
        <v>15</v>
      </c>
      <c r="R33" s="1491">
        <v>16</v>
      </c>
      <c r="S33" s="1491" t="s">
        <v>502</v>
      </c>
      <c r="T33" s="1160" t="s">
        <v>53</v>
      </c>
      <c r="U33" s="820"/>
    </row>
    <row r="34" spans="2:37" hidden="1" x14ac:dyDescent="0.2">
      <c r="B34" s="1492" t="s">
        <v>86</v>
      </c>
      <c r="C34" s="1493">
        <v>2689</v>
      </c>
      <c r="D34" s="1493">
        <v>2754</v>
      </c>
      <c r="E34" s="1493">
        <v>2837</v>
      </c>
      <c r="F34" s="1493">
        <v>2920</v>
      </c>
      <c r="G34" s="1493">
        <v>3004</v>
      </c>
      <c r="H34" s="1493">
        <v>3107</v>
      </c>
      <c r="I34" s="1493">
        <v>3228</v>
      </c>
      <c r="J34" s="1493">
        <v>3365</v>
      </c>
      <c r="K34" s="1493">
        <v>3521</v>
      </c>
      <c r="L34" s="1493">
        <v>3694</v>
      </c>
      <c r="M34" s="1493">
        <v>3886</v>
      </c>
      <c r="N34" s="1493">
        <v>4098</v>
      </c>
      <c r="O34" s="1492"/>
      <c r="P34" s="1492"/>
      <c r="Q34" s="1494"/>
      <c r="R34" s="1494"/>
      <c r="S34" s="1495">
        <f t="shared" ref="S34:S56" si="1">COUNTA(C34:R34)</f>
        <v>12</v>
      </c>
      <c r="T34" s="1197" t="s">
        <v>86</v>
      </c>
      <c r="U34" s="1198">
        <f>+N34/$N$34</f>
        <v>1</v>
      </c>
      <c r="V34" s="1493"/>
      <c r="W34" s="1493"/>
      <c r="X34" s="1493"/>
      <c r="Y34" s="1493"/>
      <c r="Z34" s="1493"/>
      <c r="AA34" s="1493"/>
      <c r="AB34" s="1493"/>
      <c r="AC34" s="1493"/>
      <c r="AD34" s="1493"/>
      <c r="AE34" s="1493"/>
      <c r="AF34" s="1493"/>
      <c r="AG34" s="1493"/>
      <c r="AH34" s="1493"/>
      <c r="AI34" s="1493"/>
      <c r="AJ34" s="1493"/>
      <c r="AK34" s="1493"/>
    </row>
    <row r="35" spans="2:37" hidden="1" x14ac:dyDescent="0.2">
      <c r="B35" s="1492" t="s">
        <v>87</v>
      </c>
      <c r="C35" s="1493">
        <v>2705</v>
      </c>
      <c r="D35" s="1493">
        <v>2834</v>
      </c>
      <c r="E35" s="1493">
        <v>2981</v>
      </c>
      <c r="F35" s="1493">
        <v>3128</v>
      </c>
      <c r="G35" s="1493">
        <v>3274</v>
      </c>
      <c r="H35" s="1493">
        <v>3437</v>
      </c>
      <c r="I35" s="1493">
        <v>3618</v>
      </c>
      <c r="J35" s="1493">
        <v>3815</v>
      </c>
      <c r="K35" s="1493">
        <v>4029</v>
      </c>
      <c r="L35" s="1493">
        <v>4261</v>
      </c>
      <c r="M35" s="1493">
        <v>4510</v>
      </c>
      <c r="N35" s="1493">
        <v>4775</v>
      </c>
      <c r="O35" s="1492"/>
      <c r="P35" s="1492"/>
      <c r="Q35" s="1494"/>
      <c r="R35" s="1494"/>
      <c r="S35" s="1495">
        <f t="shared" si="1"/>
        <v>12</v>
      </c>
      <c r="T35" s="1197" t="s">
        <v>87</v>
      </c>
      <c r="U35" s="1198">
        <f>+N35/$N$34</f>
        <v>1.1652025378233284</v>
      </c>
      <c r="V35" s="1493"/>
      <c r="W35" s="1493"/>
      <c r="X35" s="1493"/>
      <c r="Y35" s="1493"/>
      <c r="Z35" s="1493"/>
      <c r="AA35" s="1493"/>
      <c r="AB35" s="1493"/>
      <c r="AC35" s="1493"/>
      <c r="AD35" s="1493"/>
      <c r="AE35" s="1493"/>
      <c r="AF35" s="1493"/>
      <c r="AG35" s="1493"/>
      <c r="AH35" s="1493"/>
      <c r="AI35" s="1493"/>
      <c r="AJ35" s="1493"/>
      <c r="AK35" s="1493"/>
    </row>
    <row r="36" spans="2:37" hidden="1" x14ac:dyDescent="0.2">
      <c r="B36" s="1492" t="s">
        <v>88</v>
      </c>
      <c r="C36" s="1493">
        <v>2716</v>
      </c>
      <c r="D36" s="1493">
        <v>2876</v>
      </c>
      <c r="E36" s="1493">
        <v>3063</v>
      </c>
      <c r="F36" s="1493">
        <v>3249</v>
      </c>
      <c r="G36" s="1493">
        <v>3435</v>
      </c>
      <c r="H36" s="1493">
        <v>3645</v>
      </c>
      <c r="I36" s="1493">
        <v>3879</v>
      </c>
      <c r="J36" s="1493">
        <v>4140</v>
      </c>
      <c r="K36" s="1493">
        <v>4425</v>
      </c>
      <c r="L36" s="1493">
        <v>4735</v>
      </c>
      <c r="M36" s="1493">
        <v>5069</v>
      </c>
      <c r="N36" s="1493">
        <v>5430</v>
      </c>
      <c r="O36" s="1492"/>
      <c r="P36" s="1492"/>
      <c r="Q36" s="1494"/>
      <c r="R36" s="1494"/>
      <c r="S36" s="1495">
        <f t="shared" si="1"/>
        <v>12</v>
      </c>
      <c r="T36" s="1197" t="s">
        <v>88</v>
      </c>
      <c r="U36" s="1198">
        <f>+N36/$N$34</f>
        <v>1.3250366032210834</v>
      </c>
      <c r="V36" s="1493"/>
      <c r="W36" s="1493"/>
      <c r="X36" s="1493"/>
      <c r="Y36" s="1493"/>
      <c r="Z36" s="1493"/>
      <c r="AA36" s="1493"/>
      <c r="AB36" s="1493"/>
      <c r="AC36" s="1493"/>
      <c r="AD36" s="1493"/>
      <c r="AE36" s="1493"/>
      <c r="AF36" s="1493"/>
      <c r="AG36" s="1493"/>
      <c r="AH36" s="1493"/>
      <c r="AI36" s="1493"/>
      <c r="AJ36" s="1493"/>
      <c r="AK36" s="1493"/>
    </row>
    <row r="37" spans="2:37" hidden="1" x14ac:dyDescent="0.2">
      <c r="B37" s="1492" t="s">
        <v>89</v>
      </c>
      <c r="C37" s="1493">
        <v>3486</v>
      </c>
      <c r="D37" s="1493">
        <v>3616</v>
      </c>
      <c r="E37" s="1493">
        <v>3731</v>
      </c>
      <c r="F37" s="1493">
        <v>3965</v>
      </c>
      <c r="G37" s="1493">
        <v>4225</v>
      </c>
      <c r="H37" s="1493">
        <v>4463</v>
      </c>
      <c r="I37" s="1493">
        <v>4699</v>
      </c>
      <c r="J37" s="1493">
        <v>4936</v>
      </c>
      <c r="K37" s="1493">
        <v>5174</v>
      </c>
      <c r="L37" s="1493">
        <v>5410</v>
      </c>
      <c r="M37" s="1493">
        <v>5646</v>
      </c>
      <c r="N37" s="1493">
        <v>5886</v>
      </c>
      <c r="O37" s="1492"/>
      <c r="P37" s="1492"/>
      <c r="Q37" s="1494"/>
      <c r="R37" s="1494"/>
      <c r="S37" s="1495">
        <f t="shared" si="1"/>
        <v>12</v>
      </c>
      <c r="T37" s="1197" t="s">
        <v>89</v>
      </c>
      <c r="U37" s="1198">
        <f>+N37/$N$34</f>
        <v>1.4363103953147878</v>
      </c>
      <c r="V37" s="1493"/>
      <c r="W37" s="1493"/>
      <c r="X37" s="1493"/>
      <c r="Y37" s="1493"/>
      <c r="Z37" s="1493"/>
      <c r="AA37" s="1493"/>
      <c r="AB37" s="1493"/>
      <c r="AC37" s="1493"/>
      <c r="AD37" s="1493"/>
      <c r="AE37" s="1493"/>
      <c r="AF37" s="1493"/>
      <c r="AG37" s="1493"/>
      <c r="AH37" s="1493"/>
      <c r="AI37" s="1493"/>
      <c r="AJ37" s="1493"/>
      <c r="AK37" s="1493"/>
    </row>
    <row r="38" spans="2:37" hidden="1" x14ac:dyDescent="0.2">
      <c r="B38" s="1492">
        <v>1</v>
      </c>
      <c r="C38" s="1493">
        <v>1673</v>
      </c>
      <c r="D38" s="1493">
        <v>1740</v>
      </c>
      <c r="E38" s="1493">
        <v>1804</v>
      </c>
      <c r="F38" s="1493">
        <v>1834</v>
      </c>
      <c r="G38" s="1493">
        <v>1869</v>
      </c>
      <c r="H38" s="1493">
        <v>1903</v>
      </c>
      <c r="I38" s="1493">
        <v>1949</v>
      </c>
      <c r="J38" s="1494"/>
      <c r="K38" s="1494"/>
      <c r="L38" s="1494"/>
      <c r="M38" s="1494"/>
      <c r="N38" s="1494"/>
      <c r="O38" s="1494"/>
      <c r="P38" s="1494"/>
      <c r="Q38" s="1494"/>
      <c r="R38" s="1494"/>
      <c r="S38" s="1495">
        <f t="shared" si="1"/>
        <v>7</v>
      </c>
      <c r="T38" s="1197">
        <v>1</v>
      </c>
      <c r="U38" s="1198">
        <f>+I38/$N$34</f>
        <v>0.47559785261102977</v>
      </c>
      <c r="V38" s="1493"/>
      <c r="W38" s="1493"/>
      <c r="X38" s="1493"/>
      <c r="Y38" s="1493"/>
      <c r="Z38" s="1493"/>
      <c r="AA38" s="1493"/>
      <c r="AB38" s="1493"/>
      <c r="AC38" s="1493"/>
      <c r="AD38" s="1493"/>
      <c r="AE38" s="1493"/>
      <c r="AF38" s="1493"/>
      <c r="AG38" s="1493"/>
      <c r="AH38" s="1493"/>
      <c r="AI38" s="1493"/>
      <c r="AJ38" s="1493"/>
      <c r="AK38" s="1493"/>
    </row>
    <row r="39" spans="2:37" hidden="1" x14ac:dyDescent="0.2">
      <c r="B39" s="1492">
        <v>2</v>
      </c>
      <c r="C39" s="1493">
        <v>1709</v>
      </c>
      <c r="D39" s="1493">
        <v>1773</v>
      </c>
      <c r="E39" s="1493">
        <v>1834</v>
      </c>
      <c r="F39" s="1493">
        <v>1903</v>
      </c>
      <c r="G39" s="1493">
        <v>1949</v>
      </c>
      <c r="H39" s="1493">
        <v>2002</v>
      </c>
      <c r="I39" s="1493">
        <v>2066</v>
      </c>
      <c r="J39" s="1493">
        <v>2126</v>
      </c>
      <c r="K39" s="1493"/>
      <c r="L39" s="1493"/>
      <c r="M39" s="1493"/>
      <c r="N39" s="1493"/>
      <c r="O39" s="1494"/>
      <c r="P39" s="1494"/>
      <c r="Q39" s="1494"/>
      <c r="R39" s="1494"/>
      <c r="S39" s="1495">
        <f t="shared" si="1"/>
        <v>8</v>
      </c>
      <c r="T39" s="1197">
        <v>2</v>
      </c>
      <c r="U39" s="1198">
        <f>+J39/$N$34</f>
        <v>0.51878965348950712</v>
      </c>
      <c r="V39" s="1493"/>
      <c r="W39" s="1493"/>
      <c r="X39" s="1493"/>
      <c r="Y39" s="1493"/>
      <c r="Z39" s="1493"/>
      <c r="AA39" s="1493"/>
      <c r="AB39" s="1493"/>
      <c r="AC39" s="1493"/>
      <c r="AD39" s="1493"/>
      <c r="AE39" s="1493"/>
      <c r="AF39" s="1493"/>
      <c r="AG39" s="1493"/>
      <c r="AH39" s="1493"/>
      <c r="AI39" s="1493"/>
      <c r="AJ39" s="1493"/>
      <c r="AK39" s="1493"/>
    </row>
    <row r="40" spans="2:37" hidden="1" x14ac:dyDescent="0.2">
      <c r="B40" s="1492">
        <v>3</v>
      </c>
      <c r="C40" s="1493">
        <v>1709</v>
      </c>
      <c r="D40" s="1493">
        <v>1834</v>
      </c>
      <c r="E40" s="1493">
        <v>1903</v>
      </c>
      <c r="F40" s="1493">
        <v>2002</v>
      </c>
      <c r="G40" s="1493">
        <v>2066</v>
      </c>
      <c r="H40" s="1493">
        <v>2126</v>
      </c>
      <c r="I40" s="1493">
        <v>2186</v>
      </c>
      <c r="J40" s="1493">
        <v>2244</v>
      </c>
      <c r="K40" s="1493">
        <v>2301</v>
      </c>
      <c r="L40" s="1493"/>
      <c r="M40" s="1493"/>
      <c r="N40" s="1493"/>
      <c r="O40" s="1494"/>
      <c r="P40" s="1494"/>
      <c r="Q40" s="1494"/>
      <c r="R40" s="1494"/>
      <c r="S40" s="1495">
        <f t="shared" si="1"/>
        <v>9</v>
      </c>
      <c r="T40" s="1197">
        <v>3</v>
      </c>
      <c r="U40" s="1198">
        <f>+K40/$N$34</f>
        <v>0.56149341142020492</v>
      </c>
      <c r="V40" s="1493"/>
      <c r="W40" s="1493"/>
      <c r="X40" s="1493"/>
      <c r="Y40" s="1493"/>
      <c r="Z40" s="1493"/>
      <c r="AA40" s="1493"/>
      <c r="AB40" s="1493"/>
      <c r="AC40" s="1493"/>
      <c r="AD40" s="1493"/>
      <c r="AE40" s="1493"/>
      <c r="AF40" s="1493"/>
      <c r="AG40" s="1493"/>
      <c r="AH40" s="1493"/>
      <c r="AI40" s="1493"/>
      <c r="AJ40" s="1493"/>
      <c r="AK40" s="1493"/>
    </row>
    <row r="41" spans="2:37" hidden="1" x14ac:dyDescent="0.2">
      <c r="B41" s="1492">
        <v>4</v>
      </c>
      <c r="C41" s="1493">
        <v>1740</v>
      </c>
      <c r="D41" s="1493">
        <v>1834</v>
      </c>
      <c r="E41" s="1493">
        <v>1903</v>
      </c>
      <c r="F41" s="1493">
        <v>2002</v>
      </c>
      <c r="G41" s="1493">
        <v>2066</v>
      </c>
      <c r="H41" s="1493">
        <v>2126</v>
      </c>
      <c r="I41" s="1493">
        <v>2186</v>
      </c>
      <c r="J41" s="1493">
        <v>2244</v>
      </c>
      <c r="K41" s="1493">
        <v>2301</v>
      </c>
      <c r="L41" s="1493">
        <v>2357</v>
      </c>
      <c r="M41" s="1493">
        <v>2413</v>
      </c>
      <c r="N41" s="1493"/>
      <c r="O41" s="1493"/>
      <c r="P41" s="1494"/>
      <c r="Q41" s="1494"/>
      <c r="R41" s="1494"/>
      <c r="S41" s="1495">
        <f t="shared" si="1"/>
        <v>11</v>
      </c>
      <c r="T41" s="1197">
        <v>4</v>
      </c>
      <c r="U41" s="1198">
        <f>+M41/$N$34</f>
        <v>0.58882381649585158</v>
      </c>
      <c r="V41" s="1493"/>
      <c r="W41" s="1493"/>
      <c r="X41" s="1493"/>
      <c r="Y41" s="1493"/>
      <c r="Z41" s="1493"/>
      <c r="AA41" s="1493"/>
      <c r="AB41" s="1493"/>
      <c r="AC41" s="1493"/>
      <c r="AD41" s="1493"/>
      <c r="AE41" s="1493"/>
      <c r="AF41" s="1493"/>
      <c r="AG41" s="1493"/>
      <c r="AH41" s="1493"/>
      <c r="AI41" s="1493"/>
      <c r="AJ41" s="1493"/>
      <c r="AK41" s="1493"/>
    </row>
    <row r="42" spans="2:37" hidden="1" x14ac:dyDescent="0.2">
      <c r="B42" s="1492">
        <v>5</v>
      </c>
      <c r="C42" s="1493">
        <v>1773</v>
      </c>
      <c r="D42" s="1493">
        <v>1834</v>
      </c>
      <c r="E42" s="1493">
        <v>1903</v>
      </c>
      <c r="F42" s="1493">
        <v>2002</v>
      </c>
      <c r="G42" s="1493">
        <v>2126</v>
      </c>
      <c r="H42" s="1493">
        <v>2186</v>
      </c>
      <c r="I42" s="1493">
        <v>2244</v>
      </c>
      <c r="J42" s="1493">
        <v>2301</v>
      </c>
      <c r="K42" s="1493">
        <v>2357</v>
      </c>
      <c r="L42" s="1493">
        <v>2413</v>
      </c>
      <c r="M42" s="1493">
        <v>2469</v>
      </c>
      <c r="N42" s="1493">
        <v>2533</v>
      </c>
      <c r="O42" s="1493"/>
      <c r="P42" s="1494"/>
      <c r="Q42" s="1494"/>
      <c r="R42" s="1494"/>
      <c r="S42" s="1495">
        <f t="shared" si="1"/>
        <v>12</v>
      </c>
      <c r="T42" s="1197">
        <v>5</v>
      </c>
      <c r="U42" s="1198">
        <f>+N42/$N$34</f>
        <v>0.61810639336261586</v>
      </c>
      <c r="V42" s="1493"/>
      <c r="W42" s="1493"/>
      <c r="X42" s="1493"/>
      <c r="Y42" s="1493"/>
      <c r="Z42" s="1493"/>
      <c r="AA42" s="1493"/>
      <c r="AB42" s="1493"/>
      <c r="AC42" s="1493"/>
      <c r="AD42" s="1493"/>
      <c r="AE42" s="1493"/>
      <c r="AF42" s="1493"/>
      <c r="AG42" s="1493"/>
      <c r="AH42" s="1493"/>
      <c r="AI42" s="1493"/>
      <c r="AJ42" s="1493"/>
      <c r="AK42" s="1493"/>
    </row>
    <row r="43" spans="2:37" hidden="1" x14ac:dyDescent="0.2">
      <c r="B43" s="1492">
        <v>6</v>
      </c>
      <c r="C43" s="1493">
        <v>1834</v>
      </c>
      <c r="D43" s="1493">
        <v>1903</v>
      </c>
      <c r="E43" s="1493">
        <v>2126</v>
      </c>
      <c r="F43" s="1493">
        <v>2244</v>
      </c>
      <c r="G43" s="1493">
        <v>2301</v>
      </c>
      <c r="H43" s="1493">
        <v>2357</v>
      </c>
      <c r="I43" s="1493">
        <v>2417</v>
      </c>
      <c r="J43" s="1493">
        <v>2469</v>
      </c>
      <c r="K43" s="1493">
        <v>2533</v>
      </c>
      <c r="L43" s="1493">
        <v>2595</v>
      </c>
      <c r="M43" s="1493">
        <v>2653</v>
      </c>
      <c r="N43" s="1493"/>
      <c r="O43" s="1493"/>
      <c r="P43" s="1494"/>
      <c r="Q43" s="1494"/>
      <c r="R43" s="1494"/>
      <c r="S43" s="1495">
        <f t="shared" si="1"/>
        <v>11</v>
      </c>
      <c r="T43" s="1197">
        <v>6</v>
      </c>
      <c r="U43" s="1198">
        <f>+M43/$N$34</f>
        <v>0.64738897022938013</v>
      </c>
      <c r="V43" s="1493"/>
      <c r="W43" s="1493"/>
      <c r="X43" s="1493"/>
      <c r="Y43" s="1493"/>
      <c r="Z43" s="1493"/>
      <c r="AA43" s="1493"/>
      <c r="AB43" s="1493"/>
      <c r="AC43" s="1493"/>
      <c r="AD43" s="1493"/>
      <c r="AE43" s="1493"/>
      <c r="AF43" s="1493"/>
      <c r="AG43" s="1493"/>
      <c r="AH43" s="1493"/>
      <c r="AI43" s="1493"/>
      <c r="AJ43" s="1493"/>
      <c r="AK43" s="1493"/>
    </row>
    <row r="44" spans="2:37" hidden="1" x14ac:dyDescent="0.2">
      <c r="B44" s="1492">
        <v>7</v>
      </c>
      <c r="C44" s="1493">
        <v>1949</v>
      </c>
      <c r="D44" s="1493">
        <v>2002</v>
      </c>
      <c r="E44" s="1493">
        <v>2126</v>
      </c>
      <c r="F44" s="1493">
        <v>2357</v>
      </c>
      <c r="G44" s="1493">
        <v>2469</v>
      </c>
      <c r="H44" s="1493">
        <v>2533</v>
      </c>
      <c r="I44" s="1493">
        <v>2595</v>
      </c>
      <c r="J44" s="1493">
        <v>2653</v>
      </c>
      <c r="K44" s="1493">
        <v>2716</v>
      </c>
      <c r="L44" s="1493">
        <v>2782</v>
      </c>
      <c r="M44" s="1493">
        <v>2847</v>
      </c>
      <c r="N44" s="1493">
        <v>2923</v>
      </c>
      <c r="O44" s="1493"/>
      <c r="P44" s="1494"/>
      <c r="Q44" s="1494"/>
      <c r="R44" s="1494"/>
      <c r="S44" s="1495">
        <f t="shared" si="1"/>
        <v>12</v>
      </c>
      <c r="T44" s="1197">
        <v>7</v>
      </c>
      <c r="U44" s="1198">
        <f>+N44/$N$34</f>
        <v>0.71327476817959978</v>
      </c>
      <c r="V44" s="1493"/>
      <c r="W44" s="1493"/>
      <c r="X44" s="1493"/>
      <c r="Y44" s="1493"/>
      <c r="Z44" s="1493"/>
      <c r="AA44" s="1493"/>
      <c r="AB44" s="1493"/>
      <c r="AC44" s="1493"/>
      <c r="AD44" s="1493"/>
      <c r="AE44" s="1493"/>
      <c r="AF44" s="1493"/>
      <c r="AG44" s="1493"/>
      <c r="AH44" s="1493"/>
      <c r="AI44" s="1493"/>
      <c r="AJ44" s="1493"/>
      <c r="AK44" s="1493"/>
    </row>
    <row r="45" spans="2:37" hidden="1" x14ac:dyDescent="0.2">
      <c r="B45" s="1492">
        <v>8</v>
      </c>
      <c r="C45" s="1493">
        <v>2186</v>
      </c>
      <c r="D45" s="1493">
        <v>2244</v>
      </c>
      <c r="E45" s="1493">
        <v>2357</v>
      </c>
      <c r="F45" s="1493">
        <v>2595</v>
      </c>
      <c r="G45" s="1493">
        <v>2716</v>
      </c>
      <c r="H45" s="1493">
        <v>2847</v>
      </c>
      <c r="I45" s="1493">
        <v>2923</v>
      </c>
      <c r="J45" s="1493">
        <v>2992</v>
      </c>
      <c r="K45" s="1493">
        <v>3053</v>
      </c>
      <c r="L45" s="1493">
        <v>3119</v>
      </c>
      <c r="M45" s="1493">
        <v>3184</v>
      </c>
      <c r="N45" s="1493">
        <v>3245</v>
      </c>
      <c r="O45" s="1493">
        <v>3303</v>
      </c>
      <c r="P45" s="1494"/>
      <c r="Q45" s="1494"/>
      <c r="R45" s="1494"/>
      <c r="S45" s="1495">
        <f t="shared" si="1"/>
        <v>13</v>
      </c>
      <c r="T45" s="1197">
        <v>8</v>
      </c>
      <c r="U45" s="1198">
        <f>+O45/$N$34</f>
        <v>0.80600292825768671</v>
      </c>
      <c r="V45" s="1493"/>
      <c r="W45" s="1493"/>
      <c r="X45" s="1493"/>
      <c r="Y45" s="1493"/>
      <c r="Z45" s="1493"/>
      <c r="AA45" s="1493"/>
      <c r="AB45" s="1493"/>
      <c r="AC45" s="1493"/>
      <c r="AD45" s="1493"/>
      <c r="AE45" s="1493"/>
      <c r="AF45" s="1493"/>
      <c r="AG45" s="1493"/>
      <c r="AH45" s="1493"/>
      <c r="AI45" s="1493"/>
      <c r="AJ45" s="1493"/>
      <c r="AK45" s="1493"/>
    </row>
    <row r="46" spans="2:37" hidden="1" x14ac:dyDescent="0.2">
      <c r="B46" s="1492">
        <v>9</v>
      </c>
      <c r="C46" s="1493">
        <v>2469</v>
      </c>
      <c r="D46" s="1493">
        <v>2595</v>
      </c>
      <c r="E46" s="1493">
        <v>2847</v>
      </c>
      <c r="F46" s="1493">
        <v>2992</v>
      </c>
      <c r="G46" s="1493">
        <v>3119</v>
      </c>
      <c r="H46" s="1493">
        <v>3245</v>
      </c>
      <c r="I46" s="1493">
        <v>3366</v>
      </c>
      <c r="J46" s="1493">
        <v>3486</v>
      </c>
      <c r="K46" s="1493">
        <v>3616</v>
      </c>
      <c r="L46" s="1493">
        <v>3731</v>
      </c>
      <c r="M46" s="1493"/>
      <c r="N46" s="1493"/>
      <c r="O46" s="1493"/>
      <c r="P46" s="1493"/>
      <c r="Q46" s="1493"/>
      <c r="R46" s="1493"/>
      <c r="S46" s="1495">
        <f t="shared" si="1"/>
        <v>10</v>
      </c>
      <c r="T46" s="1197">
        <v>9</v>
      </c>
      <c r="U46" s="1198">
        <f>+K46/$N$34</f>
        <v>0.88238164958516352</v>
      </c>
      <c r="V46" s="1493"/>
      <c r="W46" s="1493"/>
      <c r="X46" s="1493"/>
      <c r="Y46" s="1493"/>
      <c r="Z46" s="1493"/>
      <c r="AA46" s="1493"/>
      <c r="AB46" s="1493"/>
      <c r="AC46" s="1493"/>
      <c r="AD46" s="1493"/>
      <c r="AE46" s="1493"/>
      <c r="AF46" s="1493"/>
      <c r="AG46" s="1493"/>
      <c r="AH46" s="1493"/>
      <c r="AI46" s="1493"/>
      <c r="AJ46" s="1493"/>
      <c r="AK46" s="1493"/>
    </row>
    <row r="47" spans="2:37" hidden="1" x14ac:dyDescent="0.2">
      <c r="B47" s="1492">
        <v>10</v>
      </c>
      <c r="C47" s="1493">
        <v>2469</v>
      </c>
      <c r="D47" s="1493">
        <v>2716</v>
      </c>
      <c r="E47" s="1493">
        <v>2847</v>
      </c>
      <c r="F47" s="1493">
        <v>2992</v>
      </c>
      <c r="G47" s="1493">
        <v>3119</v>
      </c>
      <c r="H47" s="1493">
        <v>3245</v>
      </c>
      <c r="I47" s="1493">
        <v>3366</v>
      </c>
      <c r="J47" s="1493">
        <v>3486</v>
      </c>
      <c r="K47" s="1493">
        <v>3616</v>
      </c>
      <c r="L47" s="1493">
        <v>3731</v>
      </c>
      <c r="M47" s="1493">
        <v>3850</v>
      </c>
      <c r="N47" s="1493">
        <v>3965</v>
      </c>
      <c r="O47" s="1493">
        <v>4098</v>
      </c>
      <c r="P47" s="1493"/>
      <c r="Q47" s="1493"/>
      <c r="R47" s="1493"/>
      <c r="S47" s="1495">
        <f t="shared" si="1"/>
        <v>13</v>
      </c>
      <c r="T47" s="1197">
        <v>10</v>
      </c>
      <c r="U47" s="1198">
        <f>+O47/$N$34</f>
        <v>1</v>
      </c>
      <c r="V47" s="1493"/>
      <c r="W47" s="1493"/>
      <c r="X47" s="1493"/>
      <c r="Y47" s="1493"/>
      <c r="Z47" s="1493"/>
      <c r="AA47" s="1493"/>
      <c r="AB47" s="1493"/>
      <c r="AC47" s="1493"/>
      <c r="AD47" s="1493"/>
      <c r="AE47" s="1493"/>
      <c r="AF47" s="1493"/>
      <c r="AG47" s="1493"/>
      <c r="AH47" s="1493"/>
      <c r="AI47" s="1493"/>
      <c r="AJ47" s="1493"/>
      <c r="AK47" s="1493"/>
    </row>
    <row r="48" spans="2:37" hidden="1" x14ac:dyDescent="0.2">
      <c r="B48" s="1492">
        <v>11</v>
      </c>
      <c r="C48" s="1493">
        <v>2595</v>
      </c>
      <c r="D48" s="1493">
        <v>2716</v>
      </c>
      <c r="E48" s="1493">
        <v>2850</v>
      </c>
      <c r="F48" s="1493">
        <v>2994</v>
      </c>
      <c r="G48" s="1493">
        <v>3128</v>
      </c>
      <c r="H48" s="1493">
        <v>3263</v>
      </c>
      <c r="I48" s="1493">
        <v>3399</v>
      </c>
      <c r="J48" s="1493">
        <v>3616</v>
      </c>
      <c r="K48" s="1493">
        <v>3760</v>
      </c>
      <c r="L48" s="1493">
        <v>3905</v>
      </c>
      <c r="M48" s="1493">
        <v>4050</v>
      </c>
      <c r="N48" s="1493">
        <v>4196</v>
      </c>
      <c r="O48" s="1493">
        <v>4341</v>
      </c>
      <c r="P48" s="1493">
        <v>4486</v>
      </c>
      <c r="Q48" s="1493">
        <v>4632</v>
      </c>
      <c r="R48" s="1493">
        <v>4775</v>
      </c>
      <c r="S48" s="1495">
        <f t="shared" si="1"/>
        <v>16</v>
      </c>
      <c r="T48" s="1197">
        <v>11</v>
      </c>
      <c r="U48" s="1198">
        <f>+R48/$N$34</f>
        <v>1.1652025378233284</v>
      </c>
      <c r="V48" s="1493"/>
      <c r="W48" s="1493"/>
      <c r="X48" s="1493"/>
      <c r="Y48" s="1493"/>
      <c r="Z48" s="1493"/>
      <c r="AA48" s="1493"/>
      <c r="AB48" s="1493"/>
      <c r="AC48" s="1493"/>
      <c r="AD48" s="1493"/>
      <c r="AE48" s="1493"/>
      <c r="AF48" s="1493"/>
      <c r="AG48" s="1493"/>
      <c r="AH48" s="1493"/>
      <c r="AI48" s="1493"/>
      <c r="AJ48" s="1493"/>
      <c r="AK48" s="1493"/>
    </row>
    <row r="49" spans="2:37" hidden="1" x14ac:dyDescent="0.2">
      <c r="B49" s="1492">
        <v>12</v>
      </c>
      <c r="C49" s="1493">
        <v>3486</v>
      </c>
      <c r="D49" s="1493">
        <v>3616</v>
      </c>
      <c r="E49" s="1493">
        <v>3731</v>
      </c>
      <c r="F49" s="1493">
        <v>3850</v>
      </c>
      <c r="G49" s="1493">
        <v>3965</v>
      </c>
      <c r="H49" s="1493">
        <v>4098</v>
      </c>
      <c r="I49" s="1493">
        <v>4353</v>
      </c>
      <c r="J49" s="1493">
        <v>4473</v>
      </c>
      <c r="K49" s="1493">
        <v>4596</v>
      </c>
      <c r="L49" s="1493">
        <v>4713</v>
      </c>
      <c r="M49" s="1493">
        <v>4838</v>
      </c>
      <c r="N49" s="1493">
        <v>4960</v>
      </c>
      <c r="O49" s="1493">
        <v>5079</v>
      </c>
      <c r="P49" s="1493">
        <v>5200</v>
      </c>
      <c r="Q49" s="1493">
        <v>5352</v>
      </c>
      <c r="R49" s="1493">
        <v>5430</v>
      </c>
      <c r="S49" s="1495">
        <f t="shared" si="1"/>
        <v>16</v>
      </c>
      <c r="T49" s="1197">
        <v>12</v>
      </c>
      <c r="U49" s="1198">
        <f>+R49/$N$34</f>
        <v>1.3250366032210834</v>
      </c>
      <c r="V49" s="1493"/>
      <c r="W49" s="1493"/>
      <c r="X49" s="1493"/>
      <c r="Y49" s="1493"/>
      <c r="Z49" s="1493"/>
      <c r="AA49" s="1493"/>
      <c r="AB49" s="1493"/>
      <c r="AC49" s="1493"/>
      <c r="AD49" s="1493"/>
      <c r="AE49" s="1493"/>
      <c r="AF49" s="1493"/>
      <c r="AG49" s="1493"/>
      <c r="AH49" s="1493"/>
      <c r="AI49" s="1493"/>
      <c r="AJ49" s="1493"/>
      <c r="AK49" s="1493"/>
    </row>
    <row r="50" spans="2:37" hidden="1" x14ac:dyDescent="0.2">
      <c r="B50" s="1492">
        <v>13</v>
      </c>
      <c r="C50" s="1493">
        <v>4225</v>
      </c>
      <c r="D50" s="1493">
        <v>4353</v>
      </c>
      <c r="E50" s="1493">
        <v>4473</v>
      </c>
      <c r="F50" s="1493">
        <v>4596</v>
      </c>
      <c r="G50" s="1493">
        <v>4713</v>
      </c>
      <c r="H50" s="1493">
        <v>4960</v>
      </c>
      <c r="I50" s="1493">
        <v>5079</v>
      </c>
      <c r="J50" s="1493">
        <v>5200</v>
      </c>
      <c r="K50" s="1493">
        <v>5352</v>
      </c>
      <c r="L50" s="1493">
        <v>5506</v>
      </c>
      <c r="M50" s="1493">
        <v>5658</v>
      </c>
      <c r="N50" s="1493">
        <v>5812</v>
      </c>
      <c r="O50" s="1493">
        <v>5886</v>
      </c>
      <c r="P50" s="1493"/>
      <c r="Q50" s="1493"/>
      <c r="R50" s="1493"/>
      <c r="S50" s="1495">
        <f t="shared" si="1"/>
        <v>13</v>
      </c>
      <c r="T50" s="1197">
        <v>13</v>
      </c>
      <c r="U50" s="1198">
        <f>+O50/$N$34</f>
        <v>1.4363103953147878</v>
      </c>
      <c r="V50" s="1493"/>
      <c r="W50" s="1493"/>
      <c r="X50" s="1493"/>
      <c r="Y50" s="1493"/>
      <c r="Z50" s="1493"/>
      <c r="AA50" s="1493"/>
      <c r="AB50" s="1493"/>
      <c r="AC50" s="1493"/>
      <c r="AD50" s="1493"/>
      <c r="AE50" s="1493"/>
      <c r="AF50" s="1493"/>
      <c r="AG50" s="1493"/>
      <c r="AH50" s="1493"/>
      <c r="AI50" s="1493"/>
      <c r="AJ50" s="1493"/>
      <c r="AK50" s="1493"/>
    </row>
    <row r="51" spans="2:37" hidden="1" x14ac:dyDescent="0.2">
      <c r="B51" s="1492">
        <v>14</v>
      </c>
      <c r="C51" s="1493">
        <v>4838</v>
      </c>
      <c r="D51" s="1493">
        <v>4960</v>
      </c>
      <c r="E51" s="1493">
        <v>5200</v>
      </c>
      <c r="F51" s="1493">
        <v>5352</v>
      </c>
      <c r="G51" s="1493">
        <v>5506</v>
      </c>
      <c r="H51" s="1493">
        <v>5658</v>
      </c>
      <c r="I51" s="1493">
        <v>5812</v>
      </c>
      <c r="J51" s="1493">
        <v>5966</v>
      </c>
      <c r="K51" s="1493">
        <v>6128</v>
      </c>
      <c r="L51" s="1493">
        <v>6294</v>
      </c>
      <c r="M51" s="1493">
        <v>6465</v>
      </c>
      <c r="N51" s="1493"/>
      <c r="O51" s="1493"/>
      <c r="P51" s="1493"/>
      <c r="Q51" s="1493"/>
      <c r="R51" s="1493"/>
      <c r="S51" s="1495">
        <f t="shared" si="1"/>
        <v>11</v>
      </c>
      <c r="T51" s="1197">
        <v>14</v>
      </c>
      <c r="U51" s="1198">
        <f>+M51/$N$34</f>
        <v>1.5775988286969254</v>
      </c>
      <c r="V51" s="1493"/>
      <c r="W51" s="1493"/>
      <c r="X51" s="1493"/>
      <c r="Y51" s="1493"/>
      <c r="Z51" s="1493"/>
      <c r="AA51" s="1493"/>
      <c r="AB51" s="1493"/>
      <c r="AC51" s="1493"/>
      <c r="AD51" s="1493"/>
      <c r="AE51" s="1493"/>
      <c r="AF51" s="1493"/>
      <c r="AG51" s="1493"/>
      <c r="AH51" s="1493"/>
      <c r="AI51" s="1493"/>
      <c r="AJ51" s="1493"/>
      <c r="AK51" s="1493"/>
    </row>
    <row r="52" spans="2:37" hidden="1" x14ac:dyDescent="0.2">
      <c r="B52" s="1492">
        <v>15</v>
      </c>
      <c r="C52" s="1493">
        <v>5079</v>
      </c>
      <c r="D52" s="1493">
        <v>5200</v>
      </c>
      <c r="E52" s="1493">
        <v>5352</v>
      </c>
      <c r="F52" s="1493">
        <v>5658</v>
      </c>
      <c r="G52" s="1493">
        <v>5812</v>
      </c>
      <c r="H52" s="1493">
        <v>5966</v>
      </c>
      <c r="I52" s="1493">
        <v>6128</v>
      </c>
      <c r="J52" s="1493">
        <v>6294</v>
      </c>
      <c r="K52" s="1493">
        <v>6465</v>
      </c>
      <c r="L52" s="1493">
        <v>6670</v>
      </c>
      <c r="M52" s="1493">
        <v>6882</v>
      </c>
      <c r="N52" s="1493">
        <v>7099</v>
      </c>
      <c r="O52" s="1493"/>
      <c r="P52" s="1493"/>
      <c r="Q52" s="1493"/>
      <c r="R52" s="1493"/>
      <c r="S52" s="1495">
        <f t="shared" si="1"/>
        <v>12</v>
      </c>
      <c r="T52" s="1197">
        <v>15</v>
      </c>
      <c r="U52" s="1198">
        <f>+N52/$N$34</f>
        <v>1.7323084431429965</v>
      </c>
      <c r="V52" s="1493"/>
      <c r="W52" s="1493"/>
      <c r="X52" s="1493"/>
      <c r="Y52" s="1493"/>
      <c r="Z52" s="1493"/>
      <c r="AA52" s="1493"/>
      <c r="AB52" s="1493"/>
      <c r="AC52" s="1493"/>
      <c r="AD52" s="1493"/>
      <c r="AE52" s="1493"/>
      <c r="AF52" s="1493"/>
      <c r="AG52" s="1493"/>
      <c r="AH52" s="1493"/>
      <c r="AI52" s="1493"/>
      <c r="AJ52" s="1493"/>
      <c r="AK52" s="1493"/>
    </row>
    <row r="53" spans="2:37" hidden="1" x14ac:dyDescent="0.2">
      <c r="B53" s="1492">
        <v>16</v>
      </c>
      <c r="C53" s="1493">
        <v>5506</v>
      </c>
      <c r="D53" s="1493">
        <v>5658</v>
      </c>
      <c r="E53" s="1493">
        <v>5812</v>
      </c>
      <c r="F53" s="1493">
        <v>6128</v>
      </c>
      <c r="G53" s="1493">
        <v>6294</v>
      </c>
      <c r="H53" s="1493">
        <v>6465</v>
      </c>
      <c r="I53" s="1493">
        <v>6670</v>
      </c>
      <c r="J53" s="1493">
        <v>6882</v>
      </c>
      <c r="K53" s="1493">
        <v>7099</v>
      </c>
      <c r="L53" s="1493">
        <v>7326</v>
      </c>
      <c r="M53" s="1493">
        <v>7557</v>
      </c>
      <c r="N53" s="1493">
        <v>7798</v>
      </c>
      <c r="O53" s="1493"/>
      <c r="P53" s="1493"/>
      <c r="Q53" s="1493"/>
      <c r="R53" s="1493"/>
      <c r="S53" s="1495">
        <f t="shared" si="1"/>
        <v>12</v>
      </c>
      <c r="T53" s="1197">
        <v>16</v>
      </c>
      <c r="U53" s="1198">
        <f>+N53/$N$34</f>
        <v>1.9028794533918985</v>
      </c>
      <c r="V53" s="1493"/>
      <c r="W53" s="1493"/>
      <c r="X53" s="1493"/>
      <c r="Y53" s="1493"/>
      <c r="Z53" s="1493"/>
      <c r="AA53" s="1493"/>
      <c r="AB53" s="1493"/>
      <c r="AC53" s="1493"/>
      <c r="AD53" s="1493"/>
      <c r="AE53" s="1493"/>
      <c r="AF53" s="1493"/>
      <c r="AG53" s="1493"/>
      <c r="AH53" s="1493"/>
      <c r="AI53" s="1493"/>
      <c r="AJ53" s="1493"/>
      <c r="AK53" s="1493"/>
    </row>
    <row r="54" spans="2:37" hidden="1" x14ac:dyDescent="0.2">
      <c r="B54" s="1492">
        <v>17</v>
      </c>
      <c r="C54" s="1493">
        <v>5966</v>
      </c>
      <c r="D54" s="1493">
        <v>6128</v>
      </c>
      <c r="E54" s="1493">
        <v>6294</v>
      </c>
      <c r="F54" s="1493">
        <v>6670</v>
      </c>
      <c r="G54" s="1493">
        <v>6882</v>
      </c>
      <c r="H54" s="1493">
        <v>7099</v>
      </c>
      <c r="I54" s="1493">
        <v>7326</v>
      </c>
      <c r="J54" s="1493">
        <v>7557</v>
      </c>
      <c r="K54" s="1493">
        <v>7798</v>
      </c>
      <c r="L54" s="1493">
        <v>8047</v>
      </c>
      <c r="M54" s="1493">
        <v>8302</v>
      </c>
      <c r="N54" s="1493">
        <v>8565</v>
      </c>
      <c r="O54" s="1493"/>
      <c r="P54" s="1493"/>
      <c r="Q54" s="1493"/>
      <c r="R54" s="1493"/>
      <c r="S54" s="1495">
        <f t="shared" si="1"/>
        <v>12</v>
      </c>
      <c r="T54" s="1197">
        <v>17</v>
      </c>
      <c r="U54" s="1198">
        <f>+N54/$N$34</f>
        <v>2.0900439238653004</v>
      </c>
      <c r="V54" s="1493"/>
      <c r="W54" s="1493"/>
      <c r="X54" s="1493"/>
      <c r="Y54" s="1493"/>
      <c r="Z54" s="1493"/>
      <c r="AA54" s="1493"/>
      <c r="AB54" s="1493"/>
      <c r="AC54" s="1493"/>
      <c r="AD54" s="1493"/>
      <c r="AE54" s="1493"/>
      <c r="AF54" s="1493"/>
      <c r="AG54" s="1493"/>
      <c r="AH54" s="1493"/>
      <c r="AI54" s="1493"/>
      <c r="AJ54" s="1493"/>
      <c r="AK54" s="1493"/>
    </row>
    <row r="55" spans="2:37" hidden="1" x14ac:dyDescent="0.2">
      <c r="B55" s="1492" t="s">
        <v>116</v>
      </c>
      <c r="C55" s="1493">
        <v>1621.06</v>
      </c>
      <c r="D55" s="1493">
        <v>1646.96</v>
      </c>
      <c r="E55" s="1493">
        <v>1673</v>
      </c>
      <c r="F55" s="1493">
        <v>1740</v>
      </c>
      <c r="G55" s="1493">
        <v>1804</v>
      </c>
      <c r="H55" s="1493">
        <v>1834</v>
      </c>
      <c r="I55" s="1493">
        <v>1869</v>
      </c>
      <c r="J55" s="1493">
        <v>1903</v>
      </c>
      <c r="K55" s="1493">
        <v>1949</v>
      </c>
      <c r="L55" s="1494"/>
      <c r="M55" s="1494"/>
      <c r="N55" s="1494"/>
      <c r="O55" s="1494"/>
      <c r="P55" s="1494"/>
      <c r="Q55" s="1494"/>
      <c r="R55" s="1494"/>
      <c r="S55" s="1495">
        <f t="shared" si="1"/>
        <v>9</v>
      </c>
      <c r="T55" s="1197" t="s">
        <v>116</v>
      </c>
      <c r="U55" s="1198">
        <f>+K55/$N$34</f>
        <v>0.47559785261102977</v>
      </c>
      <c r="V55" s="1493"/>
      <c r="W55" s="1493"/>
      <c r="X55" s="1493"/>
      <c r="Y55" s="1493"/>
      <c r="Z55" s="1493"/>
      <c r="AA55" s="1493"/>
      <c r="AB55" s="1493"/>
      <c r="AC55" s="1493"/>
      <c r="AD55" s="1493"/>
      <c r="AE55" s="1493"/>
      <c r="AF55" s="1493"/>
      <c r="AG55" s="1493"/>
      <c r="AH55" s="1493"/>
      <c r="AI55" s="1493"/>
      <c r="AJ55" s="1493"/>
      <c r="AK55" s="1493"/>
    </row>
    <row r="56" spans="2:37" hidden="1" x14ac:dyDescent="0.2">
      <c r="B56" s="1492" t="s">
        <v>117</v>
      </c>
      <c r="C56" s="1493">
        <v>1709</v>
      </c>
      <c r="D56" s="1493">
        <v>1773</v>
      </c>
      <c r="E56" s="1493">
        <v>1834</v>
      </c>
      <c r="F56" s="1493">
        <v>1903</v>
      </c>
      <c r="G56" s="1493">
        <v>1949</v>
      </c>
      <c r="H56" s="1493">
        <v>2002</v>
      </c>
      <c r="I56" s="1493">
        <v>2066</v>
      </c>
      <c r="J56" s="1493">
        <v>2126</v>
      </c>
      <c r="K56" s="1493"/>
      <c r="L56" s="1494"/>
      <c r="M56" s="1494"/>
      <c r="N56" s="1494"/>
      <c r="O56" s="1494"/>
      <c r="P56" s="1494"/>
      <c r="Q56" s="1494"/>
      <c r="R56" s="1494"/>
      <c r="S56" s="1495">
        <f t="shared" si="1"/>
        <v>8</v>
      </c>
      <c r="T56" s="1197" t="s">
        <v>117</v>
      </c>
      <c r="U56" s="1198">
        <f>+J56/$N$34</f>
        <v>0.51878965348950712</v>
      </c>
      <c r="V56" s="1493"/>
      <c r="W56" s="1493"/>
      <c r="X56" s="1493"/>
      <c r="Y56" s="1493"/>
      <c r="Z56" s="1493"/>
      <c r="AA56" s="1493"/>
      <c r="AB56" s="1493"/>
      <c r="AC56" s="1493"/>
      <c r="AD56" s="1493"/>
      <c r="AE56" s="1493"/>
      <c r="AF56" s="1493"/>
      <c r="AG56" s="1493"/>
      <c r="AH56" s="1493"/>
      <c r="AI56" s="1493"/>
      <c r="AJ56" s="1493"/>
      <c r="AK56" s="1493"/>
    </row>
    <row r="57" spans="2:37" hidden="1" x14ac:dyDescent="0.2">
      <c r="B57" s="1492" t="s">
        <v>118</v>
      </c>
      <c r="C57" s="1493">
        <v>1709</v>
      </c>
      <c r="D57" s="1493">
        <v>1834</v>
      </c>
      <c r="E57" s="1493">
        <v>1903</v>
      </c>
      <c r="F57" s="1493">
        <v>2002</v>
      </c>
      <c r="G57" s="1493">
        <v>2066</v>
      </c>
      <c r="H57" s="1493">
        <v>2126</v>
      </c>
      <c r="I57" s="1493">
        <v>2186</v>
      </c>
      <c r="J57" s="1493">
        <v>2244</v>
      </c>
      <c r="K57" s="1493">
        <v>2301</v>
      </c>
      <c r="L57" s="1494"/>
      <c r="M57" s="1494"/>
      <c r="N57" s="1494"/>
      <c r="O57" s="1494"/>
      <c r="P57" s="1494"/>
      <c r="Q57" s="1494"/>
      <c r="R57" s="1494"/>
      <c r="S57" s="1495">
        <f>COUNTA(C57:R57)</f>
        <v>9</v>
      </c>
      <c r="T57" s="1197" t="s">
        <v>118</v>
      </c>
      <c r="U57" s="1198">
        <f>+I57/$N$34</f>
        <v>0.5334309419228892</v>
      </c>
      <c r="V57" s="1493"/>
      <c r="W57" s="1493"/>
      <c r="X57" s="1493"/>
      <c r="Y57" s="1493"/>
      <c r="Z57" s="1493"/>
      <c r="AA57" s="1493"/>
      <c r="AB57" s="1493"/>
      <c r="AC57" s="1493"/>
      <c r="AD57" s="1493"/>
      <c r="AE57" s="1493"/>
      <c r="AF57" s="1493"/>
      <c r="AG57" s="1493"/>
      <c r="AH57" s="1493"/>
      <c r="AI57" s="1493"/>
      <c r="AJ57" s="1493"/>
      <c r="AK57" s="1493"/>
    </row>
    <row r="58" spans="2:37" hidden="1" x14ac:dyDescent="0.2">
      <c r="B58" s="1492" t="s">
        <v>370</v>
      </c>
      <c r="C58" s="1493">
        <v>1358</v>
      </c>
      <c r="D58" s="1494"/>
      <c r="E58" s="1494"/>
      <c r="F58" s="1494"/>
      <c r="G58" s="1494"/>
      <c r="H58" s="1494"/>
      <c r="I58" s="1494"/>
      <c r="J58" s="1494"/>
      <c r="K58" s="1494"/>
      <c r="L58" s="1494"/>
      <c r="M58" s="1494"/>
      <c r="N58" s="1494"/>
      <c r="O58" s="1494"/>
      <c r="P58" s="1494"/>
      <c r="Q58" s="1494"/>
      <c r="R58" s="1494"/>
      <c r="S58" s="1495">
        <f>COUNTA(C58:R58)</f>
        <v>1</v>
      </c>
      <c r="T58" s="1197" t="s">
        <v>370</v>
      </c>
      <c r="U58" s="1198">
        <f>+C58/$N$34</f>
        <v>0.3313811615422157</v>
      </c>
      <c r="V58" s="1493"/>
      <c r="W58" s="1493"/>
      <c r="X58" s="1493"/>
      <c r="Y58" s="1493"/>
      <c r="Z58" s="1493"/>
      <c r="AA58" s="1493"/>
      <c r="AB58" s="1493"/>
      <c r="AC58" s="1493"/>
      <c r="AD58" s="1493"/>
      <c r="AE58" s="1493"/>
      <c r="AF58" s="1493"/>
      <c r="AG58" s="1493"/>
      <c r="AH58" s="1493"/>
      <c r="AI58" s="1493"/>
      <c r="AJ58" s="1493"/>
      <c r="AK58" s="1493"/>
    </row>
    <row r="59" spans="2:37" hidden="1" x14ac:dyDescent="0.2"/>
    <row r="60" spans="2:37" hidden="1" x14ac:dyDescent="0.2">
      <c r="B60" s="1485" t="s">
        <v>369</v>
      </c>
      <c r="C60" s="1486">
        <v>43617</v>
      </c>
      <c r="D60" s="1487"/>
      <c r="E60" s="1488" t="s">
        <v>892</v>
      </c>
      <c r="F60" s="1489">
        <v>2.1499999999999998E-2</v>
      </c>
      <c r="G60" s="1536" t="s">
        <v>933</v>
      </c>
      <c r="K60" s="1490"/>
      <c r="L60" s="1490"/>
      <c r="M60" s="1490"/>
      <c r="N60" s="1490"/>
      <c r="O60" s="1490"/>
      <c r="P60" s="1490"/>
      <c r="Q60" s="1490"/>
      <c r="R60" s="1490"/>
      <c r="T60" s="1160" t="s">
        <v>52</v>
      </c>
      <c r="U60" s="1196"/>
    </row>
    <row r="61" spans="2:37" hidden="1" x14ac:dyDescent="0.2">
      <c r="B61" s="1491" t="s">
        <v>501</v>
      </c>
      <c r="C61" s="1491">
        <v>1</v>
      </c>
      <c r="D61" s="1491">
        <v>2</v>
      </c>
      <c r="E61" s="1491">
        <v>3</v>
      </c>
      <c r="F61" s="1491">
        <v>4</v>
      </c>
      <c r="G61" s="1491">
        <v>5</v>
      </c>
      <c r="H61" s="1491">
        <v>6</v>
      </c>
      <c r="I61" s="1491">
        <v>7</v>
      </c>
      <c r="J61" s="1491">
        <v>8</v>
      </c>
      <c r="K61" s="1491">
        <v>9</v>
      </c>
      <c r="L61" s="1491">
        <v>10</v>
      </c>
      <c r="M61" s="1491">
        <v>11</v>
      </c>
      <c r="N61" s="1491">
        <v>12</v>
      </c>
      <c r="O61" s="1491">
        <v>13</v>
      </c>
      <c r="P61" s="1491">
        <v>14</v>
      </c>
      <c r="Q61" s="1491">
        <v>15</v>
      </c>
      <c r="R61" s="1491">
        <v>16</v>
      </c>
      <c r="S61" s="1491" t="s">
        <v>502</v>
      </c>
      <c r="T61" s="1160" t="s">
        <v>53</v>
      </c>
      <c r="U61" s="820"/>
    </row>
    <row r="62" spans="2:37" hidden="1" x14ac:dyDescent="0.2">
      <c r="B62" s="1492" t="s">
        <v>86</v>
      </c>
      <c r="C62" s="1493">
        <v>2747</v>
      </c>
      <c r="D62" s="1493">
        <v>2814</v>
      </c>
      <c r="E62" s="1493">
        <v>2898</v>
      </c>
      <c r="F62" s="1493">
        <v>2983</v>
      </c>
      <c r="G62" s="1493">
        <v>3068</v>
      </c>
      <c r="H62" s="1493">
        <v>3174</v>
      </c>
      <c r="I62" s="1493">
        <v>3297</v>
      </c>
      <c r="J62" s="1493">
        <v>3438</v>
      </c>
      <c r="K62" s="1493">
        <v>3597</v>
      </c>
      <c r="L62" s="1493">
        <v>3773</v>
      </c>
      <c r="M62" s="1493">
        <v>3969</v>
      </c>
      <c r="N62" s="1493">
        <v>4186</v>
      </c>
      <c r="O62" s="1493"/>
      <c r="P62" s="1493"/>
      <c r="Q62" s="1493"/>
      <c r="R62" s="1493"/>
      <c r="S62" s="1495">
        <f t="shared" ref="S62:S86" si="2">COUNTA(C62:R62)</f>
        <v>12</v>
      </c>
      <c r="T62" s="1197" t="s">
        <v>86</v>
      </c>
      <c r="U62" s="1198">
        <f>+N62/$N$62</f>
        <v>1</v>
      </c>
    </row>
    <row r="63" spans="2:37" hidden="1" x14ac:dyDescent="0.2">
      <c r="B63" s="1492" t="s">
        <v>87</v>
      </c>
      <c r="C63" s="1493">
        <v>2764</v>
      </c>
      <c r="D63" s="1493">
        <v>2895</v>
      </c>
      <c r="E63" s="1493">
        <v>3045</v>
      </c>
      <c r="F63" s="1493">
        <v>3195</v>
      </c>
      <c r="G63" s="1493">
        <v>3344</v>
      </c>
      <c r="H63" s="1493">
        <v>3511</v>
      </c>
      <c r="I63" s="1493">
        <v>3696</v>
      </c>
      <c r="J63" s="1493">
        <v>3897</v>
      </c>
      <c r="K63" s="1493">
        <v>4116</v>
      </c>
      <c r="L63" s="1493">
        <v>4353</v>
      </c>
      <c r="M63" s="1493">
        <v>4607</v>
      </c>
      <c r="N63" s="1493">
        <v>4878</v>
      </c>
      <c r="O63" s="1493"/>
      <c r="P63" s="1493"/>
      <c r="Q63" s="1493"/>
      <c r="R63" s="1493"/>
      <c r="S63" s="1495">
        <f t="shared" si="2"/>
        <v>12</v>
      </c>
      <c r="T63" s="1197" t="s">
        <v>87</v>
      </c>
      <c r="U63" s="1198">
        <f>+N63/$N$62</f>
        <v>1.1653129479216435</v>
      </c>
    </row>
    <row r="64" spans="2:37" hidden="1" x14ac:dyDescent="0.2">
      <c r="B64" s="1492" t="s">
        <v>88</v>
      </c>
      <c r="C64" s="1493">
        <v>2775</v>
      </c>
      <c r="D64" s="1493">
        <v>2938</v>
      </c>
      <c r="E64" s="1493">
        <v>3128</v>
      </c>
      <c r="F64" s="1493">
        <v>3319</v>
      </c>
      <c r="G64" s="1493">
        <v>3509</v>
      </c>
      <c r="H64" s="1493">
        <v>3723</v>
      </c>
      <c r="I64" s="1493">
        <v>3963</v>
      </c>
      <c r="J64" s="1493">
        <v>4229</v>
      </c>
      <c r="K64" s="1493">
        <v>4520</v>
      </c>
      <c r="L64" s="1493">
        <v>4837</v>
      </c>
      <c r="M64" s="1493">
        <v>5178</v>
      </c>
      <c r="N64" s="1493">
        <v>5546</v>
      </c>
      <c r="O64" s="1493"/>
      <c r="P64" s="1493"/>
      <c r="Q64" s="1493"/>
      <c r="R64" s="1493"/>
      <c r="S64" s="1495">
        <f t="shared" si="2"/>
        <v>12</v>
      </c>
      <c r="T64" s="1197" t="s">
        <v>88</v>
      </c>
      <c r="U64" s="1198">
        <f>+N64/$N$62</f>
        <v>1.3248924988055424</v>
      </c>
    </row>
    <row r="65" spans="2:21" hidden="1" x14ac:dyDescent="0.2">
      <c r="B65" s="1492" t="s">
        <v>89</v>
      </c>
      <c r="C65" s="1493">
        <v>3561</v>
      </c>
      <c r="D65" s="1493">
        <v>3693</v>
      </c>
      <c r="E65" s="1493">
        <v>3811</v>
      </c>
      <c r="F65" s="1493">
        <v>4050</v>
      </c>
      <c r="G65" s="1493">
        <v>4316</v>
      </c>
      <c r="H65" s="1493">
        <v>4559</v>
      </c>
      <c r="I65" s="1493">
        <v>4800</v>
      </c>
      <c r="J65" s="1493">
        <v>5043</v>
      </c>
      <c r="K65" s="1493">
        <v>5285</v>
      </c>
      <c r="L65" s="1493">
        <v>5526</v>
      </c>
      <c r="M65" s="1493">
        <v>5768</v>
      </c>
      <c r="N65" s="1493">
        <v>6012</v>
      </c>
      <c r="O65" s="1493"/>
      <c r="P65" s="1493"/>
      <c r="Q65" s="1493"/>
      <c r="R65" s="1493"/>
      <c r="S65" s="1495">
        <f t="shared" si="2"/>
        <v>12</v>
      </c>
      <c r="T65" s="1197" t="s">
        <v>89</v>
      </c>
      <c r="U65" s="1198">
        <f>+N65/$N$62</f>
        <v>1.4362159579550884</v>
      </c>
    </row>
    <row r="66" spans="2:21" hidden="1" x14ac:dyDescent="0.2">
      <c r="B66" s="1492">
        <v>1</v>
      </c>
      <c r="C66" s="1493">
        <v>1709</v>
      </c>
      <c r="D66" s="1493">
        <v>1777</v>
      </c>
      <c r="E66" s="1493">
        <v>1843</v>
      </c>
      <c r="F66" s="1493">
        <v>1874</v>
      </c>
      <c r="G66" s="1493">
        <v>1909</v>
      </c>
      <c r="H66" s="1493">
        <v>1944</v>
      </c>
      <c r="I66" s="1493">
        <v>1991</v>
      </c>
      <c r="J66" s="1493"/>
      <c r="K66" s="1493"/>
      <c r="L66" s="1493"/>
      <c r="M66" s="1493"/>
      <c r="N66" s="1493"/>
      <c r="O66" s="1493"/>
      <c r="P66" s="1493"/>
      <c r="Q66" s="1493"/>
      <c r="R66" s="1493"/>
      <c r="S66" s="1495">
        <f t="shared" si="2"/>
        <v>7</v>
      </c>
      <c r="T66" s="1197">
        <v>1</v>
      </c>
      <c r="U66" s="1198">
        <f>+I66/$N$62</f>
        <v>0.47563306258958432</v>
      </c>
    </row>
    <row r="67" spans="2:21" hidden="1" x14ac:dyDescent="0.2">
      <c r="B67" s="1492">
        <v>2</v>
      </c>
      <c r="C67" s="1493">
        <v>1746</v>
      </c>
      <c r="D67" s="1493">
        <v>1811</v>
      </c>
      <c r="E67" s="1493">
        <v>1874</v>
      </c>
      <c r="F67" s="1493">
        <v>1944</v>
      </c>
      <c r="G67" s="1493">
        <v>1991</v>
      </c>
      <c r="H67" s="1493">
        <v>2045</v>
      </c>
      <c r="I67" s="1493">
        <v>2111</v>
      </c>
      <c r="J67" s="1493">
        <v>2172</v>
      </c>
      <c r="K67" s="1493"/>
      <c r="L67" s="1493"/>
      <c r="M67" s="1493"/>
      <c r="N67" s="1493"/>
      <c r="O67" s="1493"/>
      <c r="P67" s="1493"/>
      <c r="Q67" s="1493"/>
      <c r="R67" s="1493"/>
      <c r="S67" s="1495">
        <f t="shared" si="2"/>
        <v>8</v>
      </c>
      <c r="T67" s="1197">
        <v>2</v>
      </c>
      <c r="U67" s="1198">
        <f>+J67/$N$62</f>
        <v>0.51887243191591015</v>
      </c>
    </row>
    <row r="68" spans="2:21" hidden="1" x14ac:dyDescent="0.2">
      <c r="B68" s="1492">
        <v>3</v>
      </c>
      <c r="C68" s="1493">
        <v>1746</v>
      </c>
      <c r="D68" s="1493">
        <v>1874</v>
      </c>
      <c r="E68" s="1493">
        <v>1944</v>
      </c>
      <c r="F68" s="1493">
        <v>2045</v>
      </c>
      <c r="G68" s="1493">
        <v>2111</v>
      </c>
      <c r="H68" s="1493">
        <v>2172</v>
      </c>
      <c r="I68" s="1493">
        <v>2233</v>
      </c>
      <c r="J68" s="1493">
        <v>2292</v>
      </c>
      <c r="K68" s="1493">
        <v>2351</v>
      </c>
      <c r="L68" s="1493"/>
      <c r="M68" s="1493"/>
      <c r="N68" s="1493"/>
      <c r="O68" s="1493"/>
      <c r="P68" s="1493"/>
      <c r="Q68" s="1493"/>
      <c r="R68" s="1493"/>
      <c r="S68" s="1495">
        <f t="shared" si="2"/>
        <v>9</v>
      </c>
      <c r="T68" s="1197">
        <v>3</v>
      </c>
      <c r="U68" s="1198">
        <f>+K68/$N$62</f>
        <v>0.56163401815575731</v>
      </c>
    </row>
    <row r="69" spans="2:21" hidden="1" x14ac:dyDescent="0.2">
      <c r="B69" s="1492">
        <v>4</v>
      </c>
      <c r="C69" s="1493">
        <v>1777</v>
      </c>
      <c r="D69" s="1493">
        <v>1874</v>
      </c>
      <c r="E69" s="1493">
        <v>1944</v>
      </c>
      <c r="F69" s="1493">
        <v>2045</v>
      </c>
      <c r="G69" s="1493">
        <v>2111</v>
      </c>
      <c r="H69" s="1493">
        <v>2172</v>
      </c>
      <c r="I69" s="1493">
        <v>2233</v>
      </c>
      <c r="J69" s="1493">
        <v>2292</v>
      </c>
      <c r="K69" s="1493">
        <v>2351</v>
      </c>
      <c r="L69" s="1493">
        <v>2408</v>
      </c>
      <c r="M69" s="1493">
        <v>2464</v>
      </c>
      <c r="N69" s="1493"/>
      <c r="O69" s="1493"/>
      <c r="P69" s="1493"/>
      <c r="Q69" s="1493"/>
      <c r="R69" s="1493"/>
      <c r="S69" s="1495">
        <f t="shared" si="2"/>
        <v>11</v>
      </c>
      <c r="T69" s="1197">
        <v>4</v>
      </c>
      <c r="U69" s="1198">
        <f>+M69/$N$62</f>
        <v>0.58862876254180607</v>
      </c>
    </row>
    <row r="70" spans="2:21" hidden="1" x14ac:dyDescent="0.2">
      <c r="B70" s="1492">
        <v>5</v>
      </c>
      <c r="C70" s="1493">
        <v>1811</v>
      </c>
      <c r="D70" s="1493">
        <v>1874</v>
      </c>
      <c r="E70" s="1493">
        <v>1944</v>
      </c>
      <c r="F70" s="1493">
        <v>2045</v>
      </c>
      <c r="G70" s="1493">
        <v>2172</v>
      </c>
      <c r="H70" s="1493">
        <v>2233</v>
      </c>
      <c r="I70" s="1493">
        <v>2292</v>
      </c>
      <c r="J70" s="1493">
        <v>2351</v>
      </c>
      <c r="K70" s="1493">
        <v>2408</v>
      </c>
      <c r="L70" s="1493">
        <v>2464</v>
      </c>
      <c r="M70" s="1493">
        <v>2522</v>
      </c>
      <c r="N70" s="1493">
        <v>2588</v>
      </c>
      <c r="O70" s="1493"/>
      <c r="P70" s="1493"/>
      <c r="Q70" s="1493"/>
      <c r="R70" s="1493"/>
      <c r="S70" s="1495">
        <f t="shared" si="2"/>
        <v>12</v>
      </c>
      <c r="T70" s="1197">
        <v>5</v>
      </c>
      <c r="U70" s="1198">
        <f>+N70/$N$62</f>
        <v>0.61825131390348786</v>
      </c>
    </row>
    <row r="71" spans="2:21" hidden="1" x14ac:dyDescent="0.2">
      <c r="B71" s="1492">
        <v>6</v>
      </c>
      <c r="C71" s="1493">
        <v>1874</v>
      </c>
      <c r="D71" s="1493">
        <v>1944</v>
      </c>
      <c r="E71" s="1493">
        <v>2172</v>
      </c>
      <c r="F71" s="1493">
        <v>2292</v>
      </c>
      <c r="G71" s="1493">
        <v>2351</v>
      </c>
      <c r="H71" s="1493">
        <v>2408</v>
      </c>
      <c r="I71" s="1493">
        <v>2464</v>
      </c>
      <c r="J71" s="1493">
        <v>2522</v>
      </c>
      <c r="K71" s="1493">
        <v>2588</v>
      </c>
      <c r="L71" s="1493">
        <v>2651</v>
      </c>
      <c r="M71" s="1493">
        <v>2710</v>
      </c>
      <c r="N71" s="1493"/>
      <c r="O71" s="1493"/>
      <c r="P71" s="1493"/>
      <c r="Q71" s="1493"/>
      <c r="R71" s="1493"/>
      <c r="S71" s="1495">
        <f t="shared" si="2"/>
        <v>11</v>
      </c>
      <c r="T71" s="1197">
        <v>6</v>
      </c>
      <c r="U71" s="1198">
        <f>+M71/$N$62</f>
        <v>0.64739608217869082</v>
      </c>
    </row>
    <row r="72" spans="2:21" hidden="1" x14ac:dyDescent="0.2">
      <c r="B72" s="1492">
        <v>7</v>
      </c>
      <c r="C72" s="1493">
        <v>1991</v>
      </c>
      <c r="D72" s="1493">
        <v>2045</v>
      </c>
      <c r="E72" s="1493">
        <v>2172</v>
      </c>
      <c r="F72" s="1493">
        <v>2408</v>
      </c>
      <c r="G72" s="1493">
        <v>2522</v>
      </c>
      <c r="H72" s="1493">
        <v>2588</v>
      </c>
      <c r="I72" s="1493">
        <v>2651</v>
      </c>
      <c r="J72" s="1493">
        <v>2710</v>
      </c>
      <c r="K72" s="1493">
        <v>2775</v>
      </c>
      <c r="L72" s="1493">
        <v>2841</v>
      </c>
      <c r="M72" s="1493">
        <v>2908</v>
      </c>
      <c r="N72" s="1493">
        <v>2986</v>
      </c>
      <c r="O72" s="1493"/>
      <c r="P72" s="1493"/>
      <c r="Q72" s="1493"/>
      <c r="R72" s="1493"/>
      <c r="S72" s="1495">
        <f t="shared" si="2"/>
        <v>12</v>
      </c>
      <c r="T72" s="1197">
        <v>7</v>
      </c>
      <c r="U72" s="1198">
        <f>+N72/$N$62</f>
        <v>0.71333014811275686</v>
      </c>
    </row>
    <row r="73" spans="2:21" hidden="1" x14ac:dyDescent="0.2">
      <c r="B73" s="1492">
        <v>8</v>
      </c>
      <c r="C73" s="1493">
        <v>2233</v>
      </c>
      <c r="D73" s="1493">
        <v>2292</v>
      </c>
      <c r="E73" s="1493">
        <v>2408</v>
      </c>
      <c r="F73" s="1493">
        <v>2651</v>
      </c>
      <c r="G73" s="1493">
        <v>2775</v>
      </c>
      <c r="H73" s="1493">
        <v>2908</v>
      </c>
      <c r="I73" s="1493">
        <v>2986</v>
      </c>
      <c r="J73" s="1493">
        <v>3056</v>
      </c>
      <c r="K73" s="1493">
        <v>3118</v>
      </c>
      <c r="L73" s="1493">
        <v>3186</v>
      </c>
      <c r="M73" s="1493">
        <v>3253</v>
      </c>
      <c r="N73" s="1493">
        <v>3315</v>
      </c>
      <c r="O73" s="1493">
        <v>3374</v>
      </c>
      <c r="P73" s="1493"/>
      <c r="Q73" s="1493"/>
      <c r="R73" s="1493"/>
      <c r="S73" s="1495">
        <f t="shared" si="2"/>
        <v>13</v>
      </c>
      <c r="T73" s="1197">
        <v>8</v>
      </c>
      <c r="U73" s="1198">
        <f>+O73/$N$62</f>
        <v>0.80602006688963213</v>
      </c>
    </row>
    <row r="74" spans="2:21" hidden="1" x14ac:dyDescent="0.2">
      <c r="B74" s="1492">
        <v>9</v>
      </c>
      <c r="C74" s="1493">
        <v>2522</v>
      </c>
      <c r="D74" s="1493">
        <v>2651</v>
      </c>
      <c r="E74" s="1493">
        <v>2908</v>
      </c>
      <c r="F74" s="1493">
        <v>3056</v>
      </c>
      <c r="G74" s="1493">
        <v>3186</v>
      </c>
      <c r="H74" s="1493">
        <v>3315</v>
      </c>
      <c r="I74" s="1493">
        <v>3439</v>
      </c>
      <c r="J74" s="1493">
        <v>3561</v>
      </c>
      <c r="K74" s="1493">
        <v>3693</v>
      </c>
      <c r="L74" s="1493">
        <v>3811</v>
      </c>
      <c r="M74" s="1493"/>
      <c r="N74" s="1493"/>
      <c r="O74" s="1493"/>
      <c r="P74" s="1493"/>
      <c r="Q74" s="1493"/>
      <c r="R74" s="1493"/>
      <c r="S74" s="1495">
        <f t="shared" si="2"/>
        <v>10</v>
      </c>
      <c r="T74" s="1197">
        <v>9</v>
      </c>
      <c r="U74" s="1198">
        <f>+K74/$N$62</f>
        <v>0.88222646918299097</v>
      </c>
    </row>
    <row r="75" spans="2:21" hidden="1" x14ac:dyDescent="0.2">
      <c r="B75" s="1492">
        <v>10</v>
      </c>
      <c r="C75" s="1493">
        <v>2522</v>
      </c>
      <c r="D75" s="1493">
        <v>2775</v>
      </c>
      <c r="E75" s="1493">
        <v>2908</v>
      </c>
      <c r="F75" s="1493">
        <v>3056</v>
      </c>
      <c r="G75" s="1493">
        <v>3186</v>
      </c>
      <c r="H75" s="1493">
        <v>3315</v>
      </c>
      <c r="I75" s="1493">
        <v>3439</v>
      </c>
      <c r="J75" s="1493">
        <v>3561</v>
      </c>
      <c r="K75" s="1493">
        <v>3693</v>
      </c>
      <c r="L75" s="1493">
        <v>3811</v>
      </c>
      <c r="M75" s="1493">
        <v>3933</v>
      </c>
      <c r="N75" s="1493">
        <v>4050</v>
      </c>
      <c r="O75" s="1493">
        <v>4186</v>
      </c>
      <c r="P75" s="1493"/>
      <c r="Q75" s="1493"/>
      <c r="R75" s="1493"/>
      <c r="S75" s="1495">
        <f t="shared" si="2"/>
        <v>13</v>
      </c>
      <c r="T75" s="1197">
        <v>10</v>
      </c>
      <c r="U75" s="1198">
        <f>+O75/$N$62</f>
        <v>1</v>
      </c>
    </row>
    <row r="76" spans="2:21" hidden="1" x14ac:dyDescent="0.2">
      <c r="B76" s="1492">
        <v>11</v>
      </c>
      <c r="C76" s="1493">
        <v>2651</v>
      </c>
      <c r="D76" s="1493">
        <v>2775</v>
      </c>
      <c r="E76" s="1493">
        <v>2911</v>
      </c>
      <c r="F76" s="1493">
        <v>3058</v>
      </c>
      <c r="G76" s="1493">
        <v>3195</v>
      </c>
      <c r="H76" s="1493">
        <v>3333</v>
      </c>
      <c r="I76" s="1493">
        <v>3472</v>
      </c>
      <c r="J76" s="1493">
        <v>3693</v>
      </c>
      <c r="K76" s="1493">
        <v>3841</v>
      </c>
      <c r="L76" s="1493">
        <v>3989</v>
      </c>
      <c r="M76" s="1493">
        <v>4137</v>
      </c>
      <c r="N76" s="1493">
        <v>4286</v>
      </c>
      <c r="O76" s="1493">
        <v>4434</v>
      </c>
      <c r="P76" s="1493">
        <v>4582</v>
      </c>
      <c r="Q76" s="1493">
        <v>4731</v>
      </c>
      <c r="R76" s="1493">
        <v>4878</v>
      </c>
      <c r="S76" s="1495">
        <f t="shared" si="2"/>
        <v>16</v>
      </c>
      <c r="T76" s="1197">
        <v>11</v>
      </c>
      <c r="U76" s="1198">
        <f>+R76/$N$62</f>
        <v>1.1653129479216435</v>
      </c>
    </row>
    <row r="77" spans="2:21" hidden="1" x14ac:dyDescent="0.2">
      <c r="B77" s="1492">
        <v>12</v>
      </c>
      <c r="C77" s="1493">
        <v>3561</v>
      </c>
      <c r="D77" s="1493">
        <v>3693</v>
      </c>
      <c r="E77" s="1493">
        <v>3811</v>
      </c>
      <c r="F77" s="1493">
        <v>3933</v>
      </c>
      <c r="G77" s="1493">
        <v>4050</v>
      </c>
      <c r="H77" s="1493">
        <v>4186</v>
      </c>
      <c r="I77" s="1493">
        <v>4446</v>
      </c>
      <c r="J77" s="1493">
        <v>4569</v>
      </c>
      <c r="K77" s="1493">
        <v>4694</v>
      </c>
      <c r="L77" s="1493">
        <v>4815</v>
      </c>
      <c r="M77" s="1493">
        <v>4942</v>
      </c>
      <c r="N77" s="1493">
        <v>5067</v>
      </c>
      <c r="O77" s="1493">
        <v>5188</v>
      </c>
      <c r="P77" s="1493">
        <v>5312</v>
      </c>
      <c r="Q77" s="1493">
        <v>5467</v>
      </c>
      <c r="R77" s="1493">
        <v>5546</v>
      </c>
      <c r="S77" s="1495">
        <f t="shared" si="2"/>
        <v>16</v>
      </c>
      <c r="T77" s="1197">
        <v>12</v>
      </c>
      <c r="U77" s="1198">
        <f>+R77/$N$62</f>
        <v>1.3248924988055424</v>
      </c>
    </row>
    <row r="78" spans="2:21" hidden="1" x14ac:dyDescent="0.2">
      <c r="B78" s="1492">
        <v>13</v>
      </c>
      <c r="C78" s="1493">
        <v>4316</v>
      </c>
      <c r="D78" s="1493">
        <v>4446</v>
      </c>
      <c r="E78" s="1493">
        <v>4569</v>
      </c>
      <c r="F78" s="1493">
        <v>4694</v>
      </c>
      <c r="G78" s="1493">
        <v>4815</v>
      </c>
      <c r="H78" s="1493">
        <v>5067</v>
      </c>
      <c r="I78" s="1493">
        <v>5188</v>
      </c>
      <c r="J78" s="1493">
        <v>5312</v>
      </c>
      <c r="K78" s="1493">
        <v>5467</v>
      </c>
      <c r="L78" s="1493">
        <v>5624</v>
      </c>
      <c r="M78" s="1493">
        <v>5780</v>
      </c>
      <c r="N78" s="1493">
        <v>5937</v>
      </c>
      <c r="O78" s="1493">
        <v>6012</v>
      </c>
      <c r="P78" s="1493"/>
      <c r="Q78" s="1493"/>
      <c r="R78" s="1493"/>
      <c r="S78" s="1495">
        <f t="shared" si="2"/>
        <v>13</v>
      </c>
      <c r="T78" s="1197">
        <v>13</v>
      </c>
      <c r="U78" s="1198">
        <f>+O78/$N$62</f>
        <v>1.4362159579550884</v>
      </c>
    </row>
    <row r="79" spans="2:21" hidden="1" x14ac:dyDescent="0.2">
      <c r="B79" s="1492">
        <v>14</v>
      </c>
      <c r="C79" s="1493">
        <v>4942</v>
      </c>
      <c r="D79" s="1493">
        <v>5067</v>
      </c>
      <c r="E79" s="1493">
        <v>5312</v>
      </c>
      <c r="F79" s="1493">
        <v>5467</v>
      </c>
      <c r="G79" s="1493">
        <v>5624</v>
      </c>
      <c r="H79" s="1493">
        <v>5780</v>
      </c>
      <c r="I79" s="1493">
        <v>5937</v>
      </c>
      <c r="J79" s="1493">
        <v>6095</v>
      </c>
      <c r="K79" s="1493">
        <v>6259</v>
      </c>
      <c r="L79" s="1493">
        <v>6430</v>
      </c>
      <c r="M79" s="1493">
        <v>6604</v>
      </c>
      <c r="N79" s="1493"/>
      <c r="O79" s="1493"/>
      <c r="P79" s="1493"/>
      <c r="Q79" s="1493"/>
      <c r="R79" s="1493"/>
      <c r="S79" s="1495">
        <f t="shared" si="2"/>
        <v>11</v>
      </c>
      <c r="T79" s="1197">
        <v>14</v>
      </c>
      <c r="U79" s="1198">
        <f>+M79/$N$62</f>
        <v>1.5776397515527951</v>
      </c>
    </row>
    <row r="80" spans="2:21" hidden="1" x14ac:dyDescent="0.2">
      <c r="B80" s="1492">
        <v>15</v>
      </c>
      <c r="C80" s="1493">
        <v>5188</v>
      </c>
      <c r="D80" s="1493">
        <v>5312</v>
      </c>
      <c r="E80" s="1493">
        <v>5467</v>
      </c>
      <c r="F80" s="1493">
        <v>5780</v>
      </c>
      <c r="G80" s="1493">
        <v>5937</v>
      </c>
      <c r="H80" s="1493">
        <v>6095</v>
      </c>
      <c r="I80" s="1493">
        <v>6259</v>
      </c>
      <c r="J80" s="1493">
        <v>6430</v>
      </c>
      <c r="K80" s="1493">
        <v>6604</v>
      </c>
      <c r="L80" s="1493">
        <v>6813</v>
      </c>
      <c r="M80" s="1493">
        <v>7030</v>
      </c>
      <c r="N80" s="1493">
        <v>7251</v>
      </c>
      <c r="O80" s="1493"/>
      <c r="P80" s="1493"/>
      <c r="Q80" s="1493"/>
      <c r="R80" s="1493"/>
      <c r="S80" s="1495">
        <f t="shared" si="2"/>
        <v>12</v>
      </c>
      <c r="T80" s="1197">
        <v>15</v>
      </c>
      <c r="U80" s="1198">
        <f>+N80/$N$62</f>
        <v>1.7322025800286669</v>
      </c>
    </row>
    <row r="81" spans="2:21" hidden="1" x14ac:dyDescent="0.2">
      <c r="B81" s="1492">
        <v>16</v>
      </c>
      <c r="C81" s="1493">
        <v>5624</v>
      </c>
      <c r="D81" s="1493">
        <v>5780</v>
      </c>
      <c r="E81" s="1493">
        <v>5937</v>
      </c>
      <c r="F81" s="1493">
        <v>6259</v>
      </c>
      <c r="G81" s="1493">
        <v>6430</v>
      </c>
      <c r="H81" s="1493">
        <v>6604</v>
      </c>
      <c r="I81" s="1493">
        <v>6813</v>
      </c>
      <c r="J81" s="1493">
        <v>7030</v>
      </c>
      <c r="K81" s="1493">
        <v>7251</v>
      </c>
      <c r="L81" s="1493">
        <v>7484</v>
      </c>
      <c r="M81" s="1493">
        <v>7720</v>
      </c>
      <c r="N81" s="1493">
        <v>7966</v>
      </c>
      <c r="O81" s="1493"/>
      <c r="P81" s="1493"/>
      <c r="Q81" s="1493"/>
      <c r="R81" s="1493"/>
      <c r="S81" s="1495">
        <f t="shared" si="2"/>
        <v>12</v>
      </c>
      <c r="T81" s="1197">
        <v>16</v>
      </c>
      <c r="U81" s="1198">
        <f>+N81/$N$62</f>
        <v>1.9030100334448161</v>
      </c>
    </row>
    <row r="82" spans="2:21" hidden="1" x14ac:dyDescent="0.2">
      <c r="B82" s="1492">
        <v>17</v>
      </c>
      <c r="C82" s="1493">
        <v>6095</v>
      </c>
      <c r="D82" s="1493">
        <v>6259</v>
      </c>
      <c r="E82" s="1493">
        <v>6430</v>
      </c>
      <c r="F82" s="1493">
        <v>6813</v>
      </c>
      <c r="G82" s="1493">
        <v>7030</v>
      </c>
      <c r="H82" s="1493">
        <v>7251</v>
      </c>
      <c r="I82" s="1493">
        <v>7484</v>
      </c>
      <c r="J82" s="1493">
        <v>7720</v>
      </c>
      <c r="K82" s="1493">
        <v>7966</v>
      </c>
      <c r="L82" s="1493">
        <v>8220</v>
      </c>
      <c r="M82" s="1493">
        <v>8480</v>
      </c>
      <c r="N82" s="1493">
        <v>8750</v>
      </c>
      <c r="O82" s="1493"/>
      <c r="P82" s="1493"/>
      <c r="Q82" s="1493"/>
      <c r="R82" s="1493"/>
      <c r="S82" s="1495">
        <f t="shared" si="2"/>
        <v>12</v>
      </c>
      <c r="T82" s="1197">
        <v>17</v>
      </c>
      <c r="U82" s="1198">
        <f>+N82/$N$62</f>
        <v>2.0903010033444818</v>
      </c>
    </row>
    <row r="83" spans="2:21" hidden="1" x14ac:dyDescent="0.2">
      <c r="B83" s="1492" t="s">
        <v>116</v>
      </c>
      <c r="C83" s="1493">
        <v>1621.06</v>
      </c>
      <c r="D83" s="1493">
        <v>1665.1</v>
      </c>
      <c r="E83" s="1493">
        <v>1709</v>
      </c>
      <c r="F83" s="1493">
        <v>1777</v>
      </c>
      <c r="G83" s="1493">
        <v>1843</v>
      </c>
      <c r="H83" s="1493">
        <v>1874</v>
      </c>
      <c r="I83" s="1493">
        <v>1909</v>
      </c>
      <c r="J83" s="1493">
        <v>1944</v>
      </c>
      <c r="K83" s="1493">
        <v>1991</v>
      </c>
      <c r="L83" s="1493"/>
      <c r="M83" s="1493"/>
      <c r="N83" s="1493"/>
      <c r="O83" s="1493"/>
      <c r="P83" s="1493"/>
      <c r="Q83" s="1493"/>
      <c r="R83" s="1493"/>
      <c r="S83" s="1495">
        <f t="shared" si="2"/>
        <v>9</v>
      </c>
      <c r="T83" s="1197" t="s">
        <v>116</v>
      </c>
      <c r="U83" s="1198">
        <f>+K83/$N$62</f>
        <v>0.47563306258958432</v>
      </c>
    </row>
    <row r="84" spans="2:21" hidden="1" x14ac:dyDescent="0.2">
      <c r="B84" s="1492" t="s">
        <v>117</v>
      </c>
      <c r="C84" s="1493">
        <v>1746</v>
      </c>
      <c r="D84" s="1493">
        <v>1811</v>
      </c>
      <c r="E84" s="1493">
        <v>1874</v>
      </c>
      <c r="F84" s="1493">
        <v>1944</v>
      </c>
      <c r="G84" s="1493">
        <v>1991</v>
      </c>
      <c r="H84" s="1493">
        <v>2045</v>
      </c>
      <c r="I84" s="1493">
        <v>2111</v>
      </c>
      <c r="J84" s="1493">
        <v>2172</v>
      </c>
      <c r="K84" s="1493"/>
      <c r="L84" s="1493"/>
      <c r="M84" s="1493"/>
      <c r="N84" s="1493"/>
      <c r="O84" s="1493"/>
      <c r="P84" s="1493"/>
      <c r="Q84" s="1493"/>
      <c r="R84" s="1493"/>
      <c r="S84" s="1495">
        <f t="shared" si="2"/>
        <v>8</v>
      </c>
      <c r="T84" s="1197" t="s">
        <v>117</v>
      </c>
      <c r="U84" s="1198">
        <f>+J84/$N$62</f>
        <v>0.51887243191591015</v>
      </c>
    </row>
    <row r="85" spans="2:21" hidden="1" x14ac:dyDescent="0.2">
      <c r="B85" s="1492" t="s">
        <v>118</v>
      </c>
      <c r="C85" s="1493">
        <v>1746</v>
      </c>
      <c r="D85" s="1493">
        <v>1874</v>
      </c>
      <c r="E85" s="1493">
        <v>1944</v>
      </c>
      <c r="F85" s="1493">
        <v>2045</v>
      </c>
      <c r="G85" s="1493">
        <v>2111</v>
      </c>
      <c r="H85" s="1493">
        <v>2172</v>
      </c>
      <c r="I85" s="1493">
        <v>2233</v>
      </c>
      <c r="J85" s="1493">
        <v>2292</v>
      </c>
      <c r="K85" s="1493">
        <v>2351</v>
      </c>
      <c r="L85" s="1493"/>
      <c r="M85" s="1493"/>
      <c r="N85" s="1493"/>
      <c r="O85" s="1493"/>
      <c r="P85" s="1493"/>
      <c r="Q85" s="1493"/>
      <c r="R85" s="1493"/>
      <c r="S85" s="1495">
        <f t="shared" si="2"/>
        <v>9</v>
      </c>
      <c r="T85" s="1197" t="s">
        <v>118</v>
      </c>
      <c r="U85" s="1198">
        <f>+I85/$N$62</f>
        <v>0.53344481605351168</v>
      </c>
    </row>
    <row r="86" spans="2:21" hidden="1" x14ac:dyDescent="0.2">
      <c r="B86" s="1492" t="s">
        <v>370</v>
      </c>
      <c r="C86" s="1493">
        <v>1387</v>
      </c>
      <c r="D86" s="1498"/>
      <c r="E86" s="1498"/>
      <c r="F86" s="1498"/>
      <c r="G86" s="1498"/>
      <c r="H86" s="1498"/>
      <c r="I86" s="1498"/>
      <c r="J86" s="1498"/>
      <c r="K86" s="1498"/>
      <c r="L86" s="1498"/>
      <c r="M86" s="1498"/>
      <c r="N86" s="1498"/>
      <c r="O86" s="1498"/>
      <c r="P86" s="1498"/>
      <c r="Q86" s="1498"/>
      <c r="R86" s="1498"/>
      <c r="S86" s="1495">
        <f t="shared" si="2"/>
        <v>1</v>
      </c>
      <c r="T86" s="1197" t="s">
        <v>370</v>
      </c>
      <c r="U86" s="1198">
        <f>+C86/$N$62</f>
        <v>0.33134257047300525</v>
      </c>
    </row>
    <row r="87" spans="2:21" hidden="1" x14ac:dyDescent="0.2"/>
    <row r="88" spans="2:21" hidden="1" x14ac:dyDescent="0.2">
      <c r="B88" s="1485" t="s">
        <v>369</v>
      </c>
      <c r="C88" s="1486">
        <v>43891</v>
      </c>
      <c r="D88" s="1487"/>
      <c r="E88" s="1488" t="s">
        <v>890</v>
      </c>
      <c r="F88" s="1489">
        <v>2.75E-2</v>
      </c>
      <c r="G88" s="1490" t="s">
        <v>934</v>
      </c>
      <c r="K88" s="1490"/>
      <c r="L88" s="1490"/>
      <c r="M88" s="1490"/>
      <c r="N88" s="1490"/>
      <c r="O88" s="1490"/>
      <c r="P88" s="1490"/>
      <c r="Q88" s="1490"/>
      <c r="R88" s="1490"/>
      <c r="T88" s="1160" t="s">
        <v>52</v>
      </c>
      <c r="U88" s="1196"/>
    </row>
    <row r="89" spans="2:21" hidden="1" x14ac:dyDescent="0.2">
      <c r="B89" s="1491" t="s">
        <v>501</v>
      </c>
      <c r="C89" s="1491">
        <v>1</v>
      </c>
      <c r="D89" s="1491">
        <v>2</v>
      </c>
      <c r="E89" s="1491">
        <v>3</v>
      </c>
      <c r="F89" s="1491">
        <v>4</v>
      </c>
      <c r="G89" s="1491">
        <v>5</v>
      </c>
      <c r="H89" s="1491">
        <v>6</v>
      </c>
      <c r="I89" s="1491">
        <v>7</v>
      </c>
      <c r="J89" s="1491">
        <v>8</v>
      </c>
      <c r="K89" s="1491">
        <v>9</v>
      </c>
      <c r="L89" s="1491">
        <v>10</v>
      </c>
      <c r="M89" s="1491">
        <v>11</v>
      </c>
      <c r="N89" s="1491">
        <v>12</v>
      </c>
      <c r="O89" s="1491">
        <v>13</v>
      </c>
      <c r="P89" s="1491">
        <v>14</v>
      </c>
      <c r="Q89" s="1491">
        <v>15</v>
      </c>
      <c r="R89" s="1491">
        <v>16</v>
      </c>
      <c r="S89" s="1491" t="s">
        <v>502</v>
      </c>
      <c r="T89" s="1160" t="s">
        <v>53</v>
      </c>
      <c r="U89" s="820"/>
    </row>
    <row r="90" spans="2:21" hidden="1" x14ac:dyDescent="0.2">
      <c r="B90" s="1492" t="s">
        <v>86</v>
      </c>
      <c r="C90" s="1493">
        <f>ROUND(C62*(1+$F$88),0)</f>
        <v>2823</v>
      </c>
      <c r="D90" s="1493">
        <f t="shared" ref="D90:N90" si="3">ROUND(D62*(1+$F$88),0)</f>
        <v>2891</v>
      </c>
      <c r="E90" s="1493">
        <f t="shared" si="3"/>
        <v>2978</v>
      </c>
      <c r="F90" s="1493">
        <f t="shared" si="3"/>
        <v>3065</v>
      </c>
      <c r="G90" s="1493">
        <f t="shared" si="3"/>
        <v>3152</v>
      </c>
      <c r="H90" s="1493">
        <f t="shared" si="3"/>
        <v>3261</v>
      </c>
      <c r="I90" s="1493">
        <f t="shared" si="3"/>
        <v>3388</v>
      </c>
      <c r="J90" s="1493">
        <f t="shared" si="3"/>
        <v>3533</v>
      </c>
      <c r="K90" s="1493">
        <f t="shared" si="3"/>
        <v>3696</v>
      </c>
      <c r="L90" s="1493">
        <f t="shared" si="3"/>
        <v>3877</v>
      </c>
      <c r="M90" s="1493">
        <f t="shared" si="3"/>
        <v>4078</v>
      </c>
      <c r="N90" s="1493">
        <f t="shared" si="3"/>
        <v>4301</v>
      </c>
      <c r="O90" s="1493"/>
      <c r="P90" s="1493"/>
      <c r="Q90" s="1493"/>
      <c r="R90" s="1493"/>
      <c r="S90" s="1495">
        <f t="shared" ref="S90:S114" si="4">COUNTA(C90:R90)</f>
        <v>12</v>
      </c>
      <c r="T90" s="1197" t="s">
        <v>86</v>
      </c>
      <c r="U90" s="1198">
        <f>+N90/$N$90</f>
        <v>1</v>
      </c>
    </row>
    <row r="91" spans="2:21" hidden="1" x14ac:dyDescent="0.2">
      <c r="B91" s="1492" t="s">
        <v>87</v>
      </c>
      <c r="C91" s="1493">
        <f t="shared" ref="C91:R106" si="5">ROUND(C63*(1+$F$88),0)</f>
        <v>2840</v>
      </c>
      <c r="D91" s="1493">
        <f t="shared" si="5"/>
        <v>2975</v>
      </c>
      <c r="E91" s="1493">
        <f t="shared" si="5"/>
        <v>3129</v>
      </c>
      <c r="F91" s="1493">
        <f t="shared" si="5"/>
        <v>3283</v>
      </c>
      <c r="G91" s="1493">
        <f t="shared" si="5"/>
        <v>3436</v>
      </c>
      <c r="H91" s="1493">
        <f t="shared" si="5"/>
        <v>3608</v>
      </c>
      <c r="I91" s="1493">
        <f t="shared" si="5"/>
        <v>3798</v>
      </c>
      <c r="J91" s="1493">
        <f t="shared" si="5"/>
        <v>4004</v>
      </c>
      <c r="K91" s="1493">
        <f t="shared" si="5"/>
        <v>4229</v>
      </c>
      <c r="L91" s="1493">
        <f t="shared" si="5"/>
        <v>4473</v>
      </c>
      <c r="M91" s="1493">
        <f t="shared" si="5"/>
        <v>4734</v>
      </c>
      <c r="N91" s="1493">
        <f t="shared" si="5"/>
        <v>5012</v>
      </c>
      <c r="O91" s="1493"/>
      <c r="P91" s="1493"/>
      <c r="Q91" s="1493"/>
      <c r="R91" s="1493"/>
      <c r="S91" s="1495">
        <f t="shared" si="4"/>
        <v>12</v>
      </c>
      <c r="T91" s="1197" t="s">
        <v>87</v>
      </c>
      <c r="U91" s="1198">
        <f>+N91/$N$90</f>
        <v>1.1653103929318762</v>
      </c>
    </row>
    <row r="92" spans="2:21" hidden="1" x14ac:dyDescent="0.2">
      <c r="B92" s="1492" t="s">
        <v>88</v>
      </c>
      <c r="C92" s="1493">
        <f t="shared" si="5"/>
        <v>2851</v>
      </c>
      <c r="D92" s="1493">
        <f t="shared" si="5"/>
        <v>3019</v>
      </c>
      <c r="E92" s="1493">
        <f t="shared" si="5"/>
        <v>3214</v>
      </c>
      <c r="F92" s="1493">
        <f t="shared" si="5"/>
        <v>3410</v>
      </c>
      <c r="G92" s="1493">
        <f t="shared" si="5"/>
        <v>3605</v>
      </c>
      <c r="H92" s="1493">
        <f t="shared" si="5"/>
        <v>3825</v>
      </c>
      <c r="I92" s="1493">
        <f t="shared" si="5"/>
        <v>4072</v>
      </c>
      <c r="J92" s="1493">
        <f t="shared" si="5"/>
        <v>4345</v>
      </c>
      <c r="K92" s="1493">
        <f t="shared" si="5"/>
        <v>4644</v>
      </c>
      <c r="L92" s="1493">
        <f t="shared" si="5"/>
        <v>4970</v>
      </c>
      <c r="M92" s="1493">
        <f t="shared" si="5"/>
        <v>5320</v>
      </c>
      <c r="N92" s="1493">
        <f t="shared" si="5"/>
        <v>5699</v>
      </c>
      <c r="O92" s="1493"/>
      <c r="P92" s="1493"/>
      <c r="Q92" s="1493"/>
      <c r="R92" s="1493"/>
      <c r="S92" s="1495">
        <f t="shared" si="4"/>
        <v>12</v>
      </c>
      <c r="T92" s="1197" t="s">
        <v>88</v>
      </c>
      <c r="U92" s="1198">
        <f>+N92/$N$90</f>
        <v>1.3250406882120438</v>
      </c>
    </row>
    <row r="93" spans="2:21" hidden="1" x14ac:dyDescent="0.2">
      <c r="B93" s="1492" t="s">
        <v>89</v>
      </c>
      <c r="C93" s="1493">
        <f t="shared" si="5"/>
        <v>3659</v>
      </c>
      <c r="D93" s="1493">
        <f t="shared" si="5"/>
        <v>3795</v>
      </c>
      <c r="E93" s="1493">
        <f t="shared" si="5"/>
        <v>3916</v>
      </c>
      <c r="F93" s="1493">
        <f t="shared" si="5"/>
        <v>4161</v>
      </c>
      <c r="G93" s="1493">
        <f t="shared" si="5"/>
        <v>4435</v>
      </c>
      <c r="H93" s="1493">
        <f t="shared" si="5"/>
        <v>4684</v>
      </c>
      <c r="I93" s="1493">
        <f t="shared" si="5"/>
        <v>4932</v>
      </c>
      <c r="J93" s="1493">
        <f t="shared" si="5"/>
        <v>5182</v>
      </c>
      <c r="K93" s="1493">
        <f t="shared" si="5"/>
        <v>5430</v>
      </c>
      <c r="L93" s="1493">
        <f t="shared" si="5"/>
        <v>5678</v>
      </c>
      <c r="M93" s="1493">
        <f t="shared" si="5"/>
        <v>5927</v>
      </c>
      <c r="N93" s="1493">
        <f t="shared" si="5"/>
        <v>6177</v>
      </c>
      <c r="O93" s="1493"/>
      <c r="P93" s="1493"/>
      <c r="Q93" s="1493"/>
      <c r="R93" s="1493"/>
      <c r="S93" s="1495">
        <f t="shared" si="4"/>
        <v>12</v>
      </c>
      <c r="T93" s="1197" t="s">
        <v>89</v>
      </c>
      <c r="U93" s="1198">
        <f>+N93/$N$90</f>
        <v>1.4361776331085794</v>
      </c>
    </row>
    <row r="94" spans="2:21" hidden="1" x14ac:dyDescent="0.2">
      <c r="B94" s="1492">
        <v>1</v>
      </c>
      <c r="C94" s="1493">
        <f t="shared" si="5"/>
        <v>1756</v>
      </c>
      <c r="D94" s="1493">
        <f t="shared" si="5"/>
        <v>1826</v>
      </c>
      <c r="E94" s="1493">
        <f t="shared" si="5"/>
        <v>1894</v>
      </c>
      <c r="F94" s="1493">
        <f t="shared" si="5"/>
        <v>1926</v>
      </c>
      <c r="G94" s="1493">
        <f t="shared" si="5"/>
        <v>1961</v>
      </c>
      <c r="H94" s="1493">
        <f t="shared" si="5"/>
        <v>1997</v>
      </c>
      <c r="I94" s="1493">
        <f t="shared" si="5"/>
        <v>2046</v>
      </c>
      <c r="J94" s="1493"/>
      <c r="K94" s="1493"/>
      <c r="L94" s="1493"/>
      <c r="M94" s="1493"/>
      <c r="N94" s="1493"/>
      <c r="O94" s="1493"/>
      <c r="P94" s="1493"/>
      <c r="Q94" s="1493"/>
      <c r="R94" s="1493"/>
      <c r="S94" s="1495">
        <f t="shared" si="4"/>
        <v>7</v>
      </c>
      <c r="T94" s="1197">
        <v>1</v>
      </c>
      <c r="U94" s="1198">
        <f>+I94/$N$90</f>
        <v>0.47570332480818417</v>
      </c>
    </row>
    <row r="95" spans="2:21" hidden="1" x14ac:dyDescent="0.2">
      <c r="B95" s="1492">
        <v>2</v>
      </c>
      <c r="C95" s="1493">
        <f t="shared" si="5"/>
        <v>1794</v>
      </c>
      <c r="D95" s="1493">
        <f t="shared" si="5"/>
        <v>1861</v>
      </c>
      <c r="E95" s="1493">
        <f t="shared" si="5"/>
        <v>1926</v>
      </c>
      <c r="F95" s="1493">
        <f t="shared" si="5"/>
        <v>1997</v>
      </c>
      <c r="G95" s="1493">
        <f t="shared" si="5"/>
        <v>2046</v>
      </c>
      <c r="H95" s="1493">
        <f t="shared" si="5"/>
        <v>2101</v>
      </c>
      <c r="I95" s="1493">
        <f t="shared" si="5"/>
        <v>2169</v>
      </c>
      <c r="J95" s="1493">
        <f t="shared" si="5"/>
        <v>2232</v>
      </c>
      <c r="K95" s="1493"/>
      <c r="L95" s="1493"/>
      <c r="M95" s="1493"/>
      <c r="N95" s="1493"/>
      <c r="O95" s="1493"/>
      <c r="P95" s="1493"/>
      <c r="Q95" s="1493"/>
      <c r="R95" s="1493"/>
      <c r="S95" s="1495">
        <f t="shared" si="4"/>
        <v>8</v>
      </c>
      <c r="T95" s="1197">
        <v>2</v>
      </c>
      <c r="U95" s="1198">
        <f>+J95/$N$90</f>
        <v>0.51894908160892816</v>
      </c>
    </row>
    <row r="96" spans="2:21" hidden="1" x14ac:dyDescent="0.2">
      <c r="B96" s="1492">
        <v>3</v>
      </c>
      <c r="C96" s="1493">
        <f t="shared" si="5"/>
        <v>1794</v>
      </c>
      <c r="D96" s="1493">
        <f t="shared" si="5"/>
        <v>1926</v>
      </c>
      <c r="E96" s="1493">
        <f t="shared" si="5"/>
        <v>1997</v>
      </c>
      <c r="F96" s="1493">
        <f t="shared" si="5"/>
        <v>2101</v>
      </c>
      <c r="G96" s="1493">
        <f t="shared" si="5"/>
        <v>2169</v>
      </c>
      <c r="H96" s="1493">
        <f t="shared" si="5"/>
        <v>2232</v>
      </c>
      <c r="I96" s="1493">
        <f t="shared" si="5"/>
        <v>2294</v>
      </c>
      <c r="J96" s="1493">
        <f t="shared" si="5"/>
        <v>2355</v>
      </c>
      <c r="K96" s="1493">
        <f t="shared" si="5"/>
        <v>2416</v>
      </c>
      <c r="L96" s="1493"/>
      <c r="M96" s="1493"/>
      <c r="N96" s="1493"/>
      <c r="O96" s="1493"/>
      <c r="P96" s="1493"/>
      <c r="Q96" s="1493"/>
      <c r="R96" s="1493"/>
      <c r="S96" s="1495">
        <f t="shared" si="4"/>
        <v>9</v>
      </c>
      <c r="T96" s="1197">
        <v>3</v>
      </c>
      <c r="U96" s="1198">
        <f>+K96/$N$90</f>
        <v>0.56172983027202972</v>
      </c>
    </row>
    <row r="97" spans="2:22" hidden="1" x14ac:dyDescent="0.2">
      <c r="B97" s="1492">
        <v>4</v>
      </c>
      <c r="C97" s="1493">
        <f t="shared" si="5"/>
        <v>1826</v>
      </c>
      <c r="D97" s="1493">
        <f t="shared" si="5"/>
        <v>1926</v>
      </c>
      <c r="E97" s="1493">
        <f t="shared" si="5"/>
        <v>1997</v>
      </c>
      <c r="F97" s="1493">
        <f t="shared" si="5"/>
        <v>2101</v>
      </c>
      <c r="G97" s="1493">
        <f t="shared" si="5"/>
        <v>2169</v>
      </c>
      <c r="H97" s="1493">
        <f t="shared" si="5"/>
        <v>2232</v>
      </c>
      <c r="I97" s="1493">
        <f t="shared" si="5"/>
        <v>2294</v>
      </c>
      <c r="J97" s="1493">
        <f t="shared" si="5"/>
        <v>2355</v>
      </c>
      <c r="K97" s="1493">
        <f t="shared" si="5"/>
        <v>2416</v>
      </c>
      <c r="L97" s="1493">
        <f t="shared" si="5"/>
        <v>2474</v>
      </c>
      <c r="M97" s="1493">
        <f t="shared" si="5"/>
        <v>2532</v>
      </c>
      <c r="N97" s="1493"/>
      <c r="O97" s="1493"/>
      <c r="P97" s="1493"/>
      <c r="Q97" s="1493"/>
      <c r="R97" s="1493"/>
      <c r="S97" s="1495">
        <f t="shared" si="4"/>
        <v>11</v>
      </c>
      <c r="T97" s="1197">
        <v>4</v>
      </c>
      <c r="U97" s="1198">
        <f>+M97/$N$90</f>
        <v>0.58870030225528946</v>
      </c>
    </row>
    <row r="98" spans="2:22" hidden="1" x14ac:dyDescent="0.2">
      <c r="B98" s="1492">
        <v>5</v>
      </c>
      <c r="C98" s="1493">
        <f t="shared" si="5"/>
        <v>1861</v>
      </c>
      <c r="D98" s="1493">
        <f t="shared" si="5"/>
        <v>1926</v>
      </c>
      <c r="E98" s="1493">
        <f t="shared" si="5"/>
        <v>1997</v>
      </c>
      <c r="F98" s="1493">
        <f t="shared" si="5"/>
        <v>2101</v>
      </c>
      <c r="G98" s="1493">
        <f t="shared" si="5"/>
        <v>2232</v>
      </c>
      <c r="H98" s="1493">
        <f t="shared" si="5"/>
        <v>2294</v>
      </c>
      <c r="I98" s="1493">
        <f t="shared" si="5"/>
        <v>2355</v>
      </c>
      <c r="J98" s="1493">
        <f t="shared" si="5"/>
        <v>2416</v>
      </c>
      <c r="K98" s="1493">
        <f t="shared" si="5"/>
        <v>2474</v>
      </c>
      <c r="L98" s="1493">
        <f t="shared" si="5"/>
        <v>2532</v>
      </c>
      <c r="M98" s="1493">
        <f t="shared" si="5"/>
        <v>2591</v>
      </c>
      <c r="N98" s="1493">
        <f t="shared" si="5"/>
        <v>2659</v>
      </c>
      <c r="O98" s="1493"/>
      <c r="P98" s="1493"/>
      <c r="Q98" s="1493"/>
      <c r="R98" s="1493"/>
      <c r="S98" s="1495">
        <f t="shared" si="4"/>
        <v>12</v>
      </c>
      <c r="T98" s="1197">
        <v>5</v>
      </c>
      <c r="U98" s="1198">
        <f>+N98/$N$90</f>
        <v>0.61822831899558239</v>
      </c>
    </row>
    <row r="99" spans="2:22" hidden="1" x14ac:dyDescent="0.2">
      <c r="B99" s="1492">
        <v>6</v>
      </c>
      <c r="C99" s="1493">
        <f t="shared" si="5"/>
        <v>1926</v>
      </c>
      <c r="D99" s="1493">
        <f t="shared" si="5"/>
        <v>1997</v>
      </c>
      <c r="E99" s="1493">
        <f t="shared" si="5"/>
        <v>2232</v>
      </c>
      <c r="F99" s="1493">
        <f t="shared" si="5"/>
        <v>2355</v>
      </c>
      <c r="G99" s="1493">
        <f t="shared" si="5"/>
        <v>2416</v>
      </c>
      <c r="H99" s="1493">
        <f t="shared" si="5"/>
        <v>2474</v>
      </c>
      <c r="I99" s="1493">
        <f t="shared" si="5"/>
        <v>2532</v>
      </c>
      <c r="J99" s="1493">
        <f t="shared" si="5"/>
        <v>2591</v>
      </c>
      <c r="K99" s="1493">
        <f t="shared" si="5"/>
        <v>2659</v>
      </c>
      <c r="L99" s="1493">
        <f t="shared" si="5"/>
        <v>2724</v>
      </c>
      <c r="M99" s="1493">
        <f t="shared" si="5"/>
        <v>2785</v>
      </c>
      <c r="N99" s="1493"/>
      <c r="O99" s="1493"/>
      <c r="P99" s="1493"/>
      <c r="Q99" s="1493"/>
      <c r="R99" s="1493"/>
      <c r="S99" s="1495">
        <f t="shared" si="4"/>
        <v>11</v>
      </c>
      <c r="T99" s="1197">
        <v>6</v>
      </c>
      <c r="U99" s="1198">
        <f>+M99/$N$90</f>
        <v>0.64752383166705418</v>
      </c>
    </row>
    <row r="100" spans="2:22" hidden="1" x14ac:dyDescent="0.2">
      <c r="B100" s="1492">
        <v>7</v>
      </c>
      <c r="C100" s="1493">
        <f t="shared" si="5"/>
        <v>2046</v>
      </c>
      <c r="D100" s="1493">
        <f t="shared" si="5"/>
        <v>2101</v>
      </c>
      <c r="E100" s="1493">
        <f t="shared" si="5"/>
        <v>2232</v>
      </c>
      <c r="F100" s="1493">
        <f t="shared" si="5"/>
        <v>2474</v>
      </c>
      <c r="G100" s="1493">
        <f t="shared" si="5"/>
        <v>2591</v>
      </c>
      <c r="H100" s="1493">
        <f t="shared" si="5"/>
        <v>2659</v>
      </c>
      <c r="I100" s="1493">
        <f t="shared" si="5"/>
        <v>2724</v>
      </c>
      <c r="J100" s="1493">
        <f t="shared" si="5"/>
        <v>2785</v>
      </c>
      <c r="K100" s="1493">
        <f t="shared" si="5"/>
        <v>2851</v>
      </c>
      <c r="L100" s="1493">
        <f t="shared" si="5"/>
        <v>2919</v>
      </c>
      <c r="M100" s="1493">
        <f t="shared" si="5"/>
        <v>2988</v>
      </c>
      <c r="N100" s="1493">
        <f t="shared" si="5"/>
        <v>3068</v>
      </c>
      <c r="O100" s="1493"/>
      <c r="P100" s="1493"/>
      <c r="Q100" s="1493"/>
      <c r="R100" s="1493"/>
      <c r="S100" s="1495">
        <f t="shared" si="4"/>
        <v>12</v>
      </c>
      <c r="T100" s="1197">
        <v>7</v>
      </c>
      <c r="U100" s="1198">
        <f>+N100/$N$90</f>
        <v>0.71332248314345503</v>
      </c>
    </row>
    <row r="101" spans="2:22" hidden="1" x14ac:dyDescent="0.2">
      <c r="B101" s="1492">
        <v>8</v>
      </c>
      <c r="C101" s="1493">
        <f t="shared" si="5"/>
        <v>2294</v>
      </c>
      <c r="D101" s="1493">
        <f t="shared" si="5"/>
        <v>2355</v>
      </c>
      <c r="E101" s="1493">
        <f t="shared" si="5"/>
        <v>2474</v>
      </c>
      <c r="F101" s="1493">
        <f t="shared" si="5"/>
        <v>2724</v>
      </c>
      <c r="G101" s="1493">
        <f t="shared" si="5"/>
        <v>2851</v>
      </c>
      <c r="H101" s="1493">
        <f t="shared" si="5"/>
        <v>2988</v>
      </c>
      <c r="I101" s="1493">
        <f t="shared" si="5"/>
        <v>3068</v>
      </c>
      <c r="J101" s="1493">
        <f t="shared" si="5"/>
        <v>3140</v>
      </c>
      <c r="K101" s="1493">
        <f t="shared" si="5"/>
        <v>3204</v>
      </c>
      <c r="L101" s="1493">
        <f t="shared" si="5"/>
        <v>3274</v>
      </c>
      <c r="M101" s="1493">
        <f t="shared" si="5"/>
        <v>3342</v>
      </c>
      <c r="N101" s="1493">
        <f t="shared" si="5"/>
        <v>3406</v>
      </c>
      <c r="O101" s="1493">
        <f t="shared" si="5"/>
        <v>3467</v>
      </c>
      <c r="P101" s="1493"/>
      <c r="Q101" s="1493"/>
      <c r="R101" s="1493"/>
      <c r="S101" s="1495">
        <f t="shared" si="4"/>
        <v>13</v>
      </c>
      <c r="T101" s="1197">
        <v>8</v>
      </c>
      <c r="U101" s="1198">
        <f>+O101/$N$90</f>
        <v>0.80609160660311552</v>
      </c>
    </row>
    <row r="102" spans="2:22" hidden="1" x14ac:dyDescent="0.2">
      <c r="B102" s="1492">
        <v>9</v>
      </c>
      <c r="C102" s="1493">
        <f t="shared" si="5"/>
        <v>2591</v>
      </c>
      <c r="D102" s="1493">
        <f t="shared" si="5"/>
        <v>2724</v>
      </c>
      <c r="E102" s="1493">
        <f t="shared" si="5"/>
        <v>2988</v>
      </c>
      <c r="F102" s="1493">
        <f t="shared" si="5"/>
        <v>3140</v>
      </c>
      <c r="G102" s="1493">
        <f t="shared" si="5"/>
        <v>3274</v>
      </c>
      <c r="H102" s="1493">
        <f t="shared" si="5"/>
        <v>3406</v>
      </c>
      <c r="I102" s="1493">
        <f t="shared" si="5"/>
        <v>3534</v>
      </c>
      <c r="J102" s="1493">
        <f t="shared" si="5"/>
        <v>3659</v>
      </c>
      <c r="K102" s="1493">
        <f t="shared" si="5"/>
        <v>3795</v>
      </c>
      <c r="L102" s="1493">
        <f t="shared" si="5"/>
        <v>3916</v>
      </c>
      <c r="M102" s="1493"/>
      <c r="N102" s="1493"/>
      <c r="O102" s="1493"/>
      <c r="P102" s="1493"/>
      <c r="Q102" s="1493"/>
      <c r="R102" s="1493"/>
      <c r="S102" s="1495">
        <f t="shared" si="4"/>
        <v>10</v>
      </c>
      <c r="T102" s="1197">
        <v>9</v>
      </c>
      <c r="U102" s="1198">
        <f>+K102/$N$90</f>
        <v>0.88235294117647056</v>
      </c>
    </row>
    <row r="103" spans="2:22" hidden="1" x14ac:dyDescent="0.2">
      <c r="B103" s="1492">
        <v>10</v>
      </c>
      <c r="C103" s="1493">
        <f t="shared" si="5"/>
        <v>2591</v>
      </c>
      <c r="D103" s="1493">
        <f t="shared" si="5"/>
        <v>2851</v>
      </c>
      <c r="E103" s="1493">
        <f t="shared" si="5"/>
        <v>2988</v>
      </c>
      <c r="F103" s="1493">
        <f t="shared" si="5"/>
        <v>3140</v>
      </c>
      <c r="G103" s="1493">
        <f t="shared" si="5"/>
        <v>3274</v>
      </c>
      <c r="H103" s="1493">
        <f t="shared" si="5"/>
        <v>3406</v>
      </c>
      <c r="I103" s="1493">
        <f t="shared" si="5"/>
        <v>3534</v>
      </c>
      <c r="J103" s="1493">
        <f t="shared" si="5"/>
        <v>3659</v>
      </c>
      <c r="K103" s="1493">
        <f t="shared" si="5"/>
        <v>3795</v>
      </c>
      <c r="L103" s="1493">
        <f t="shared" si="5"/>
        <v>3916</v>
      </c>
      <c r="M103" s="1493">
        <f t="shared" si="5"/>
        <v>4041</v>
      </c>
      <c r="N103" s="1493">
        <f t="shared" si="5"/>
        <v>4161</v>
      </c>
      <c r="O103" s="1493">
        <f t="shared" si="5"/>
        <v>4301</v>
      </c>
      <c r="P103" s="1493"/>
      <c r="Q103" s="1493"/>
      <c r="R103" s="1493"/>
      <c r="S103" s="1495">
        <f t="shared" si="4"/>
        <v>13</v>
      </c>
      <c r="T103" s="1197">
        <v>10</v>
      </c>
      <c r="U103" s="1198">
        <f>+O103/$N$90</f>
        <v>1</v>
      </c>
    </row>
    <row r="104" spans="2:22" hidden="1" x14ac:dyDescent="0.2">
      <c r="B104" s="1492">
        <v>11</v>
      </c>
      <c r="C104" s="1493">
        <f t="shared" si="5"/>
        <v>2724</v>
      </c>
      <c r="D104" s="1493">
        <f t="shared" si="5"/>
        <v>2851</v>
      </c>
      <c r="E104" s="1493">
        <f t="shared" si="5"/>
        <v>2991</v>
      </c>
      <c r="F104" s="1493">
        <f t="shared" si="5"/>
        <v>3142</v>
      </c>
      <c r="G104" s="1493">
        <f t="shared" si="5"/>
        <v>3283</v>
      </c>
      <c r="H104" s="1493">
        <f t="shared" si="5"/>
        <v>3425</v>
      </c>
      <c r="I104" s="1493">
        <f t="shared" si="5"/>
        <v>3567</v>
      </c>
      <c r="J104" s="1493">
        <f t="shared" si="5"/>
        <v>3795</v>
      </c>
      <c r="K104" s="1493">
        <f t="shared" si="5"/>
        <v>3947</v>
      </c>
      <c r="L104" s="1493">
        <f t="shared" si="5"/>
        <v>4099</v>
      </c>
      <c r="M104" s="1493">
        <f t="shared" si="5"/>
        <v>4251</v>
      </c>
      <c r="N104" s="1493">
        <f t="shared" si="5"/>
        <v>4404</v>
      </c>
      <c r="O104" s="1493">
        <f t="shared" si="5"/>
        <v>4556</v>
      </c>
      <c r="P104" s="1493">
        <f t="shared" si="5"/>
        <v>4708</v>
      </c>
      <c r="Q104" s="1493">
        <f t="shared" si="5"/>
        <v>4861</v>
      </c>
      <c r="R104" s="1493">
        <f t="shared" si="5"/>
        <v>5012</v>
      </c>
      <c r="S104" s="1495">
        <f t="shared" si="4"/>
        <v>16</v>
      </c>
      <c r="T104" s="1197">
        <v>11</v>
      </c>
      <c r="U104" s="1198">
        <f>+R104/$N$90</f>
        <v>1.1653103929318762</v>
      </c>
    </row>
    <row r="105" spans="2:22" hidden="1" x14ac:dyDescent="0.2">
      <c r="B105" s="1492">
        <v>12</v>
      </c>
      <c r="C105" s="1537">
        <f t="shared" si="5"/>
        <v>3659</v>
      </c>
      <c r="D105" s="1537">
        <f t="shared" si="5"/>
        <v>3795</v>
      </c>
      <c r="E105" s="1537">
        <f t="shared" si="5"/>
        <v>3916</v>
      </c>
      <c r="F105" s="1537">
        <f t="shared" si="5"/>
        <v>4041</v>
      </c>
      <c r="G105" s="1537">
        <f t="shared" si="5"/>
        <v>4161</v>
      </c>
      <c r="H105" s="1537">
        <f t="shared" si="5"/>
        <v>4301</v>
      </c>
      <c r="I105" s="1537">
        <f t="shared" si="5"/>
        <v>4568</v>
      </c>
      <c r="J105" s="1537">
        <f t="shared" si="5"/>
        <v>4695</v>
      </c>
      <c r="K105" s="1537">
        <f t="shared" si="5"/>
        <v>4823</v>
      </c>
      <c r="L105" s="1537">
        <f t="shared" si="5"/>
        <v>4947</v>
      </c>
      <c r="M105" s="1537">
        <f t="shared" si="5"/>
        <v>5078</v>
      </c>
      <c r="N105" s="1537">
        <f t="shared" si="5"/>
        <v>5206</v>
      </c>
      <c r="O105" s="1537">
        <f t="shared" si="5"/>
        <v>5331</v>
      </c>
      <c r="P105" s="1537">
        <f t="shared" si="5"/>
        <v>5458</v>
      </c>
      <c r="Q105" s="1537">
        <f t="shared" si="5"/>
        <v>5617</v>
      </c>
      <c r="R105" s="1537">
        <f t="shared" si="5"/>
        <v>5699</v>
      </c>
      <c r="S105" s="1495">
        <f t="shared" si="4"/>
        <v>16</v>
      </c>
      <c r="T105" s="1197">
        <v>12</v>
      </c>
      <c r="U105" s="1198">
        <f>+R105/$N$90</f>
        <v>1.3250406882120438</v>
      </c>
      <c r="V105" s="1538" t="s">
        <v>935</v>
      </c>
    </row>
    <row r="106" spans="2:22" hidden="1" x14ac:dyDescent="0.2">
      <c r="B106" s="1492">
        <v>13</v>
      </c>
      <c r="C106" s="1493">
        <f t="shared" si="5"/>
        <v>4435</v>
      </c>
      <c r="D106" s="1493">
        <f t="shared" si="5"/>
        <v>4568</v>
      </c>
      <c r="E106" s="1493">
        <f t="shared" si="5"/>
        <v>4695</v>
      </c>
      <c r="F106" s="1493">
        <f t="shared" si="5"/>
        <v>4823</v>
      </c>
      <c r="G106" s="1493">
        <f t="shared" si="5"/>
        <v>4947</v>
      </c>
      <c r="H106" s="1493">
        <f t="shared" si="5"/>
        <v>5206</v>
      </c>
      <c r="I106" s="1493">
        <f t="shared" si="5"/>
        <v>5331</v>
      </c>
      <c r="J106" s="1493">
        <f t="shared" si="5"/>
        <v>5458</v>
      </c>
      <c r="K106" s="1493">
        <f t="shared" si="5"/>
        <v>5617</v>
      </c>
      <c r="L106" s="1493">
        <f t="shared" si="5"/>
        <v>5779</v>
      </c>
      <c r="M106" s="1493">
        <f t="shared" si="5"/>
        <v>5939</v>
      </c>
      <c r="N106" s="1493">
        <f t="shared" si="5"/>
        <v>6100</v>
      </c>
      <c r="O106" s="1493">
        <f t="shared" si="5"/>
        <v>6177</v>
      </c>
      <c r="P106" s="1493"/>
      <c r="Q106" s="1493"/>
      <c r="R106" s="1493"/>
      <c r="S106" s="1495">
        <f t="shared" si="4"/>
        <v>13</v>
      </c>
      <c r="T106" s="1197">
        <v>13</v>
      </c>
      <c r="U106" s="1198">
        <f>+O106/$N$90</f>
        <v>1.4361776331085794</v>
      </c>
    </row>
    <row r="107" spans="2:22" hidden="1" x14ac:dyDescent="0.2">
      <c r="B107" s="1492">
        <v>14</v>
      </c>
      <c r="C107" s="1493">
        <f t="shared" ref="C107:N113" si="6">ROUND(C79*(1+$F$88),0)</f>
        <v>5078</v>
      </c>
      <c r="D107" s="1493">
        <f t="shared" si="6"/>
        <v>5206</v>
      </c>
      <c r="E107" s="1493">
        <f t="shared" si="6"/>
        <v>5458</v>
      </c>
      <c r="F107" s="1493">
        <f t="shared" si="6"/>
        <v>5617</v>
      </c>
      <c r="G107" s="1493">
        <f t="shared" si="6"/>
        <v>5779</v>
      </c>
      <c r="H107" s="1493">
        <f t="shared" si="6"/>
        <v>5939</v>
      </c>
      <c r="I107" s="1493">
        <f t="shared" si="6"/>
        <v>6100</v>
      </c>
      <c r="J107" s="1493">
        <f t="shared" si="6"/>
        <v>6263</v>
      </c>
      <c r="K107" s="1493">
        <f t="shared" si="6"/>
        <v>6431</v>
      </c>
      <c r="L107" s="1493">
        <f t="shared" si="6"/>
        <v>6607</v>
      </c>
      <c r="M107" s="1493">
        <f t="shared" si="6"/>
        <v>6786</v>
      </c>
      <c r="N107" s="1493"/>
      <c r="O107" s="1493"/>
      <c r="P107" s="1493"/>
      <c r="Q107" s="1493"/>
      <c r="R107" s="1493"/>
      <c r="S107" s="1495">
        <f t="shared" si="4"/>
        <v>11</v>
      </c>
      <c r="T107" s="1197">
        <v>14</v>
      </c>
      <c r="U107" s="1198">
        <f>+M107/$N$90</f>
        <v>1.5777726110206929</v>
      </c>
    </row>
    <row r="108" spans="2:22" hidden="1" x14ac:dyDescent="0.2">
      <c r="B108" s="1492">
        <v>15</v>
      </c>
      <c r="C108" s="1493">
        <f t="shared" si="6"/>
        <v>5331</v>
      </c>
      <c r="D108" s="1493">
        <f t="shared" si="6"/>
        <v>5458</v>
      </c>
      <c r="E108" s="1493">
        <f t="shared" si="6"/>
        <v>5617</v>
      </c>
      <c r="F108" s="1493">
        <f t="shared" si="6"/>
        <v>5939</v>
      </c>
      <c r="G108" s="1493">
        <f t="shared" si="6"/>
        <v>6100</v>
      </c>
      <c r="H108" s="1493">
        <f t="shared" si="6"/>
        <v>6263</v>
      </c>
      <c r="I108" s="1493">
        <f t="shared" si="6"/>
        <v>6431</v>
      </c>
      <c r="J108" s="1493">
        <f t="shared" si="6"/>
        <v>6607</v>
      </c>
      <c r="K108" s="1493">
        <f t="shared" si="6"/>
        <v>6786</v>
      </c>
      <c r="L108" s="1493">
        <f t="shared" si="6"/>
        <v>7000</v>
      </c>
      <c r="M108" s="1493">
        <f t="shared" si="6"/>
        <v>7223</v>
      </c>
      <c r="N108" s="1493">
        <f t="shared" si="6"/>
        <v>7450</v>
      </c>
      <c r="O108" s="1493"/>
      <c r="P108" s="1493"/>
      <c r="Q108" s="1493"/>
      <c r="R108" s="1493"/>
      <c r="S108" s="1495">
        <f t="shared" si="4"/>
        <v>12</v>
      </c>
      <c r="T108" s="1197">
        <v>15</v>
      </c>
      <c r="U108" s="1198">
        <f>+N108/$N$90</f>
        <v>1.7321553127179725</v>
      </c>
    </row>
    <row r="109" spans="2:22" hidden="1" x14ac:dyDescent="0.2">
      <c r="B109" s="1492">
        <v>16</v>
      </c>
      <c r="C109" s="1493">
        <f t="shared" si="6"/>
        <v>5779</v>
      </c>
      <c r="D109" s="1493">
        <f t="shared" si="6"/>
        <v>5939</v>
      </c>
      <c r="E109" s="1493">
        <f t="shared" si="6"/>
        <v>6100</v>
      </c>
      <c r="F109" s="1493">
        <f t="shared" si="6"/>
        <v>6431</v>
      </c>
      <c r="G109" s="1493">
        <f t="shared" si="6"/>
        <v>6607</v>
      </c>
      <c r="H109" s="1493">
        <f t="shared" si="6"/>
        <v>6786</v>
      </c>
      <c r="I109" s="1493">
        <f t="shared" si="6"/>
        <v>7000</v>
      </c>
      <c r="J109" s="1493">
        <f t="shared" si="6"/>
        <v>7223</v>
      </c>
      <c r="K109" s="1493">
        <f t="shared" si="6"/>
        <v>7450</v>
      </c>
      <c r="L109" s="1493">
        <f t="shared" si="6"/>
        <v>7690</v>
      </c>
      <c r="M109" s="1493">
        <f t="shared" si="6"/>
        <v>7932</v>
      </c>
      <c r="N109" s="1493">
        <f t="shared" si="6"/>
        <v>8185</v>
      </c>
      <c r="O109" s="1493"/>
      <c r="P109" s="1493"/>
      <c r="Q109" s="1493"/>
      <c r="R109" s="1493"/>
      <c r="S109" s="1495">
        <f t="shared" si="4"/>
        <v>12</v>
      </c>
      <c r="T109" s="1197">
        <v>16</v>
      </c>
      <c r="U109" s="1198">
        <f>+N109/$N$90</f>
        <v>1.9030458033015578</v>
      </c>
    </row>
    <row r="110" spans="2:22" hidden="1" x14ac:dyDescent="0.2">
      <c r="B110" s="1492">
        <v>17</v>
      </c>
      <c r="C110" s="1493">
        <f t="shared" si="6"/>
        <v>6263</v>
      </c>
      <c r="D110" s="1493">
        <f t="shared" si="6"/>
        <v>6431</v>
      </c>
      <c r="E110" s="1493">
        <f t="shared" si="6"/>
        <v>6607</v>
      </c>
      <c r="F110" s="1493">
        <f t="shared" si="6"/>
        <v>7000</v>
      </c>
      <c r="G110" s="1493">
        <f t="shared" si="6"/>
        <v>7223</v>
      </c>
      <c r="H110" s="1493">
        <f t="shared" si="6"/>
        <v>7450</v>
      </c>
      <c r="I110" s="1493">
        <f t="shared" si="6"/>
        <v>7690</v>
      </c>
      <c r="J110" s="1493">
        <f t="shared" si="6"/>
        <v>7932</v>
      </c>
      <c r="K110" s="1493">
        <f t="shared" si="6"/>
        <v>8185</v>
      </c>
      <c r="L110" s="1493">
        <f t="shared" si="6"/>
        <v>8446</v>
      </c>
      <c r="M110" s="1493">
        <f t="shared" si="6"/>
        <v>8713</v>
      </c>
      <c r="N110" s="1493">
        <f t="shared" si="6"/>
        <v>8991</v>
      </c>
      <c r="O110" s="1493"/>
      <c r="P110" s="1493"/>
      <c r="Q110" s="1493"/>
      <c r="R110" s="1493"/>
      <c r="S110" s="1495">
        <f t="shared" si="4"/>
        <v>12</v>
      </c>
      <c r="T110" s="1197">
        <v>17</v>
      </c>
      <c r="U110" s="1198">
        <f>+N110/$N$90</f>
        <v>2.0904440827714486</v>
      </c>
    </row>
    <row r="111" spans="2:22" hidden="1" x14ac:dyDescent="0.2">
      <c r="B111" s="1548" t="s">
        <v>116</v>
      </c>
      <c r="C111" s="1493">
        <f t="shared" si="6"/>
        <v>1666</v>
      </c>
      <c r="D111" s="1493">
        <f t="shared" si="6"/>
        <v>1711</v>
      </c>
      <c r="E111" s="1493">
        <f t="shared" si="6"/>
        <v>1756</v>
      </c>
      <c r="F111" s="1493">
        <f t="shared" si="6"/>
        <v>1826</v>
      </c>
      <c r="G111" s="1493">
        <f t="shared" si="6"/>
        <v>1894</v>
      </c>
      <c r="H111" s="1493">
        <f t="shared" si="6"/>
        <v>1926</v>
      </c>
      <c r="I111" s="1493">
        <f t="shared" si="6"/>
        <v>1961</v>
      </c>
      <c r="J111" s="1493">
        <f t="shared" si="6"/>
        <v>1997</v>
      </c>
      <c r="K111" s="1493">
        <f t="shared" si="6"/>
        <v>2046</v>
      </c>
      <c r="L111" s="1493"/>
      <c r="M111" s="1493"/>
      <c r="N111" s="1493"/>
      <c r="O111" s="1493"/>
      <c r="P111" s="1493"/>
      <c r="Q111" s="1493"/>
      <c r="R111" s="1493"/>
      <c r="S111" s="1495">
        <f t="shared" si="4"/>
        <v>9</v>
      </c>
      <c r="T111" s="1197" t="s">
        <v>116</v>
      </c>
      <c r="U111" s="1198">
        <f>+K111/$N$90</f>
        <v>0.47570332480818417</v>
      </c>
    </row>
    <row r="112" spans="2:22" hidden="1" x14ac:dyDescent="0.2">
      <c r="B112" s="1492" t="s">
        <v>117</v>
      </c>
      <c r="C112" s="1493">
        <f t="shared" si="6"/>
        <v>1794</v>
      </c>
      <c r="D112" s="1493">
        <f t="shared" si="6"/>
        <v>1861</v>
      </c>
      <c r="E112" s="1493">
        <f t="shared" si="6"/>
        <v>1926</v>
      </c>
      <c r="F112" s="1493">
        <f t="shared" si="6"/>
        <v>1997</v>
      </c>
      <c r="G112" s="1493">
        <f t="shared" si="6"/>
        <v>2046</v>
      </c>
      <c r="H112" s="1493">
        <f t="shared" si="6"/>
        <v>2101</v>
      </c>
      <c r="I112" s="1493">
        <f t="shared" si="6"/>
        <v>2169</v>
      </c>
      <c r="J112" s="1493">
        <f t="shared" si="6"/>
        <v>2232</v>
      </c>
      <c r="K112" s="1493"/>
      <c r="L112" s="1493"/>
      <c r="M112" s="1493"/>
      <c r="N112" s="1493"/>
      <c r="O112" s="1493"/>
      <c r="P112" s="1493"/>
      <c r="Q112" s="1493"/>
      <c r="R112" s="1493"/>
      <c r="S112" s="1495">
        <f t="shared" si="4"/>
        <v>8</v>
      </c>
      <c r="T112" s="1197" t="s">
        <v>117</v>
      </c>
      <c r="U112" s="1198">
        <f>+J112/$N$90</f>
        <v>0.51894908160892816</v>
      </c>
    </row>
    <row r="113" spans="2:21" hidden="1" x14ac:dyDescent="0.2">
      <c r="B113" s="1492" t="s">
        <v>118</v>
      </c>
      <c r="C113" s="1493">
        <f t="shared" si="6"/>
        <v>1794</v>
      </c>
      <c r="D113" s="1493">
        <f t="shared" si="6"/>
        <v>1926</v>
      </c>
      <c r="E113" s="1493">
        <f t="shared" si="6"/>
        <v>1997</v>
      </c>
      <c r="F113" s="1493">
        <f t="shared" si="6"/>
        <v>2101</v>
      </c>
      <c r="G113" s="1493">
        <f t="shared" si="6"/>
        <v>2169</v>
      </c>
      <c r="H113" s="1493">
        <f t="shared" si="6"/>
        <v>2232</v>
      </c>
      <c r="I113" s="1493">
        <f t="shared" si="6"/>
        <v>2294</v>
      </c>
      <c r="J113" s="1493">
        <f t="shared" si="6"/>
        <v>2355</v>
      </c>
      <c r="K113" s="1493">
        <f t="shared" si="6"/>
        <v>2416</v>
      </c>
      <c r="L113" s="1493"/>
      <c r="M113" s="1493"/>
      <c r="N113" s="1493"/>
      <c r="O113" s="1493"/>
      <c r="P113" s="1493"/>
      <c r="Q113" s="1493"/>
      <c r="R113" s="1493"/>
      <c r="S113" s="1495">
        <f t="shared" si="4"/>
        <v>9</v>
      </c>
      <c r="T113" s="1197" t="s">
        <v>118</v>
      </c>
      <c r="U113" s="1198">
        <f>+I113/$N$90</f>
        <v>0.53336433387584281</v>
      </c>
    </row>
    <row r="114" spans="2:21" hidden="1" x14ac:dyDescent="0.2">
      <c r="B114" s="1492" t="s">
        <v>370</v>
      </c>
      <c r="C114" s="1493">
        <f>ROUND(C90*0.5,0)</f>
        <v>1412</v>
      </c>
      <c r="D114" s="1498"/>
      <c r="E114" s="1498"/>
      <c r="F114" s="1498"/>
      <c r="G114" s="1498"/>
      <c r="H114" s="1498"/>
      <c r="I114" s="1498"/>
      <c r="J114" s="1498"/>
      <c r="K114" s="1498"/>
      <c r="L114" s="1498"/>
      <c r="M114" s="1498"/>
      <c r="N114" s="1498"/>
      <c r="O114" s="1498"/>
      <c r="P114" s="1498"/>
      <c r="Q114" s="1498"/>
      <c r="R114" s="1498"/>
      <c r="S114" s="1495">
        <f t="shared" si="4"/>
        <v>1</v>
      </c>
      <c r="T114" s="1197" t="s">
        <v>370</v>
      </c>
      <c r="U114" s="1198">
        <f>+C114/$N$90</f>
        <v>0.32829574517554055</v>
      </c>
    </row>
    <row r="115" spans="2:21" hidden="1" x14ac:dyDescent="0.2"/>
    <row r="116" spans="2:21" hidden="1" x14ac:dyDescent="0.2">
      <c r="B116" s="1160" t="s">
        <v>52</v>
      </c>
      <c r="C116" s="1196"/>
    </row>
    <row r="117" spans="2:21" hidden="1" x14ac:dyDescent="0.2">
      <c r="B117" s="1160" t="s">
        <v>53</v>
      </c>
      <c r="C117" s="820"/>
    </row>
    <row r="118" spans="2:21" hidden="1" x14ac:dyDescent="0.2">
      <c r="B118" s="1197" t="s">
        <v>86</v>
      </c>
      <c r="C118" s="1522">
        <v>1</v>
      </c>
    </row>
    <row r="119" spans="2:21" hidden="1" x14ac:dyDescent="0.2">
      <c r="B119" s="1197" t="s">
        <v>87</v>
      </c>
      <c r="C119" s="1522">
        <v>1.1653129479216435</v>
      </c>
    </row>
    <row r="120" spans="2:21" hidden="1" x14ac:dyDescent="0.2">
      <c r="B120" s="1197" t="s">
        <v>88</v>
      </c>
      <c r="C120" s="1522">
        <v>1.3248924988055424</v>
      </c>
    </row>
    <row r="121" spans="2:21" hidden="1" x14ac:dyDescent="0.2">
      <c r="B121" s="1197" t="s">
        <v>89</v>
      </c>
      <c r="C121" s="1522">
        <v>1.4362159579550884</v>
      </c>
    </row>
    <row r="122" spans="2:21" hidden="1" x14ac:dyDescent="0.2">
      <c r="B122" s="1197">
        <v>1</v>
      </c>
      <c r="C122" s="1522">
        <v>0.47563306258958432</v>
      </c>
    </row>
    <row r="123" spans="2:21" hidden="1" x14ac:dyDescent="0.2">
      <c r="B123" s="1197">
        <v>2</v>
      </c>
      <c r="C123" s="1522">
        <v>0.51887243191591015</v>
      </c>
    </row>
    <row r="124" spans="2:21" hidden="1" x14ac:dyDescent="0.2">
      <c r="B124" s="1197">
        <v>3</v>
      </c>
      <c r="C124" s="1522">
        <v>0.56163401815575731</v>
      </c>
    </row>
    <row r="125" spans="2:21" hidden="1" x14ac:dyDescent="0.2">
      <c r="B125" s="1197">
        <v>4</v>
      </c>
      <c r="C125" s="1522">
        <v>0.58862876254180607</v>
      </c>
    </row>
    <row r="126" spans="2:21" hidden="1" x14ac:dyDescent="0.2">
      <c r="B126" s="1197">
        <v>5</v>
      </c>
      <c r="C126" s="1522">
        <v>0.61825131390348786</v>
      </c>
    </row>
    <row r="127" spans="2:21" hidden="1" x14ac:dyDescent="0.2">
      <c r="B127" s="1197">
        <v>6</v>
      </c>
      <c r="C127" s="1522">
        <v>0.64739608217869082</v>
      </c>
    </row>
    <row r="128" spans="2:21" hidden="1" x14ac:dyDescent="0.2">
      <c r="B128" s="1197">
        <v>7</v>
      </c>
      <c r="C128" s="1522">
        <v>0.71333014811275686</v>
      </c>
    </row>
    <row r="129" spans="2:7" hidden="1" x14ac:dyDescent="0.2">
      <c r="B129" s="1197">
        <v>8</v>
      </c>
      <c r="C129" s="1522">
        <v>0.80602006688963213</v>
      </c>
    </row>
    <row r="130" spans="2:7" hidden="1" x14ac:dyDescent="0.2">
      <c r="B130" s="1197">
        <v>9</v>
      </c>
      <c r="C130" s="1522">
        <v>0.88222646918299097</v>
      </c>
    </row>
    <row r="131" spans="2:7" hidden="1" x14ac:dyDescent="0.2">
      <c r="B131" s="1197">
        <v>10</v>
      </c>
      <c r="C131" s="1522">
        <v>1</v>
      </c>
    </row>
    <row r="132" spans="2:7" hidden="1" x14ac:dyDescent="0.2">
      <c r="B132" s="1197">
        <v>11</v>
      </c>
      <c r="C132" s="1522">
        <v>1.1653129479216435</v>
      </c>
    </row>
    <row r="133" spans="2:7" hidden="1" x14ac:dyDescent="0.2">
      <c r="B133" s="1197">
        <v>12</v>
      </c>
      <c r="C133" s="1522">
        <v>1.3248924988055424</v>
      </c>
    </row>
    <row r="134" spans="2:7" hidden="1" x14ac:dyDescent="0.2">
      <c r="B134" s="1197">
        <v>13</v>
      </c>
      <c r="C134" s="1522">
        <v>1.4362159579550884</v>
      </c>
    </row>
    <row r="135" spans="2:7" hidden="1" x14ac:dyDescent="0.2">
      <c r="B135" s="1197">
        <v>14</v>
      </c>
      <c r="C135" s="1522">
        <v>1.5776397515527951</v>
      </c>
    </row>
    <row r="136" spans="2:7" hidden="1" x14ac:dyDescent="0.2">
      <c r="B136" s="1197">
        <v>15</v>
      </c>
      <c r="C136" s="1522">
        <v>1.7322025800286669</v>
      </c>
    </row>
    <row r="137" spans="2:7" hidden="1" x14ac:dyDescent="0.2">
      <c r="B137" s="1197">
        <v>16</v>
      </c>
      <c r="C137" s="1522">
        <v>1.9030100334448161</v>
      </c>
    </row>
    <row r="138" spans="2:7" hidden="1" x14ac:dyDescent="0.2">
      <c r="B138" s="1197">
        <v>17</v>
      </c>
      <c r="C138" s="1522">
        <v>2.0903010033444818</v>
      </c>
    </row>
    <row r="139" spans="2:7" hidden="1" x14ac:dyDescent="0.2">
      <c r="B139" s="1197" t="s">
        <v>116</v>
      </c>
      <c r="C139" s="1522">
        <v>0.47563306258958432</v>
      </c>
    </row>
    <row r="140" spans="2:7" hidden="1" x14ac:dyDescent="0.2">
      <c r="B140" s="1197" t="s">
        <v>117</v>
      </c>
      <c r="C140" s="1522">
        <v>0.51887243191591015</v>
      </c>
    </row>
    <row r="141" spans="2:7" hidden="1" x14ac:dyDescent="0.2">
      <c r="B141" s="1197" t="s">
        <v>118</v>
      </c>
      <c r="C141" s="1522">
        <v>0.53344481605351168</v>
      </c>
    </row>
    <row r="142" spans="2:7" hidden="1" x14ac:dyDescent="0.2">
      <c r="B142" s="1197" t="s">
        <v>370</v>
      </c>
      <c r="C142" s="1522">
        <v>0.33134257047300525</v>
      </c>
    </row>
    <row r="143" spans="2:7" x14ac:dyDescent="0.2">
      <c r="B143" s="1484"/>
    </row>
    <row r="144" spans="2:7" s="1552" customFormat="1" x14ac:dyDescent="0.2">
      <c r="B144" s="1553" t="s">
        <v>369</v>
      </c>
      <c r="C144" s="1554">
        <v>44044</v>
      </c>
      <c r="E144" s="1555" t="s">
        <v>954</v>
      </c>
      <c r="G144" s="1556" t="s">
        <v>934</v>
      </c>
    </row>
    <row r="145" spans="2:19" s="1552" customFormat="1" x14ac:dyDescent="0.2">
      <c r="B145" s="1557" t="s">
        <v>501</v>
      </c>
      <c r="C145" s="1552">
        <v>1</v>
      </c>
      <c r="D145" s="1552">
        <v>2</v>
      </c>
      <c r="E145" s="1552">
        <v>3</v>
      </c>
      <c r="F145" s="1552">
        <v>4</v>
      </c>
      <c r="G145" s="1552">
        <v>5</v>
      </c>
      <c r="H145" s="1552">
        <v>6</v>
      </c>
      <c r="I145" s="1552">
        <v>7</v>
      </c>
      <c r="J145" s="1552">
        <v>8</v>
      </c>
      <c r="K145" s="1552">
        <v>9</v>
      </c>
      <c r="L145" s="1552">
        <v>10</v>
      </c>
      <c r="M145" s="1552">
        <v>11</v>
      </c>
      <c r="N145" s="1552">
        <v>12</v>
      </c>
      <c r="O145" s="1552">
        <v>13</v>
      </c>
      <c r="P145" s="1552">
        <v>14</v>
      </c>
      <c r="Q145" s="1552">
        <v>15</v>
      </c>
      <c r="R145" s="1552">
        <v>16</v>
      </c>
      <c r="S145" s="1552" t="s">
        <v>502</v>
      </c>
    </row>
    <row r="146" spans="2:19" s="1552" customFormat="1" x14ac:dyDescent="0.2">
      <c r="B146" s="1557" t="s">
        <v>86</v>
      </c>
      <c r="C146" s="1552">
        <v>2822</v>
      </c>
      <c r="D146" s="1552">
        <v>2891</v>
      </c>
      <c r="E146" s="1552">
        <v>2978</v>
      </c>
      <c r="F146" s="1552">
        <v>3065</v>
      </c>
      <c r="G146" s="1552">
        <v>3153</v>
      </c>
      <c r="H146" s="1552">
        <v>3261</v>
      </c>
      <c r="I146" s="1552">
        <v>3388</v>
      </c>
      <c r="J146" s="1552">
        <v>3532</v>
      </c>
      <c r="K146" s="1552">
        <v>3696</v>
      </c>
      <c r="L146" s="1552">
        <v>3877</v>
      </c>
      <c r="M146" s="1552">
        <v>4078</v>
      </c>
      <c r="N146" s="1552">
        <v>4301</v>
      </c>
      <c r="S146" s="1552">
        <f>COUNTA(C146:R146)</f>
        <v>12</v>
      </c>
    </row>
    <row r="147" spans="2:19" s="1552" customFormat="1" x14ac:dyDescent="0.2">
      <c r="B147" s="1557" t="s">
        <v>87</v>
      </c>
      <c r="C147" s="1552">
        <v>2840</v>
      </c>
      <c r="D147" s="1552">
        <v>2974</v>
      </c>
      <c r="E147" s="1552">
        <v>3129</v>
      </c>
      <c r="F147" s="1552">
        <v>3283</v>
      </c>
      <c r="G147" s="1552">
        <v>3436</v>
      </c>
      <c r="H147" s="1552">
        <v>3608</v>
      </c>
      <c r="I147" s="1552">
        <v>3797</v>
      </c>
      <c r="J147" s="1552">
        <v>4004</v>
      </c>
      <c r="K147" s="1552">
        <v>4229</v>
      </c>
      <c r="L147" s="1552">
        <v>4473</v>
      </c>
      <c r="M147" s="1552">
        <v>4733</v>
      </c>
      <c r="N147" s="1552">
        <v>5012</v>
      </c>
      <c r="S147" s="1552">
        <f t="shared" ref="S147:S170" si="7">COUNTA(C147:R147)</f>
        <v>12</v>
      </c>
    </row>
    <row r="148" spans="2:19" s="1552" customFormat="1" x14ac:dyDescent="0.2">
      <c r="B148" s="1557" t="s">
        <v>88</v>
      </c>
      <c r="C148" s="1552">
        <v>2851</v>
      </c>
      <c r="D148" s="1552">
        <v>3019</v>
      </c>
      <c r="E148" s="1552">
        <v>3214</v>
      </c>
      <c r="F148" s="1552">
        <v>3410</v>
      </c>
      <c r="G148" s="1552">
        <v>3605</v>
      </c>
      <c r="H148" s="1552">
        <v>3826</v>
      </c>
      <c r="I148" s="1552">
        <v>4072</v>
      </c>
      <c r="J148" s="1552">
        <v>4346</v>
      </c>
      <c r="K148" s="1552">
        <v>4644</v>
      </c>
      <c r="L148" s="1552">
        <v>4970</v>
      </c>
      <c r="M148" s="1552">
        <v>5321</v>
      </c>
      <c r="N148" s="1552">
        <v>5699</v>
      </c>
      <c r="S148" s="1552">
        <f t="shared" si="7"/>
        <v>12</v>
      </c>
    </row>
    <row r="149" spans="2:19" s="1552" customFormat="1" x14ac:dyDescent="0.2">
      <c r="B149" s="1557" t="s">
        <v>89</v>
      </c>
      <c r="C149" s="1552">
        <v>3659</v>
      </c>
      <c r="D149" s="1552">
        <v>3795</v>
      </c>
      <c r="E149" s="1552">
        <v>3916</v>
      </c>
      <c r="F149" s="1552">
        <v>4162</v>
      </c>
      <c r="G149" s="1552">
        <v>4435</v>
      </c>
      <c r="H149" s="1552">
        <v>4684</v>
      </c>
      <c r="I149" s="1552">
        <v>4932</v>
      </c>
      <c r="J149" s="1552">
        <v>5181</v>
      </c>
      <c r="K149" s="1552">
        <v>5430</v>
      </c>
      <c r="L149" s="1552">
        <v>5678</v>
      </c>
      <c r="M149" s="1552">
        <v>5926</v>
      </c>
      <c r="N149" s="1552">
        <v>6178</v>
      </c>
      <c r="S149" s="1552">
        <f t="shared" si="7"/>
        <v>12</v>
      </c>
    </row>
    <row r="150" spans="2:19" s="1552" customFormat="1" x14ac:dyDescent="0.2">
      <c r="B150" s="1557">
        <v>1</v>
      </c>
      <c r="C150" s="1552">
        <v>1756</v>
      </c>
      <c r="D150" s="1552">
        <v>1826</v>
      </c>
      <c r="E150" s="1552">
        <v>1893</v>
      </c>
      <c r="F150" s="1552">
        <v>1925</v>
      </c>
      <c r="G150" s="1552">
        <v>1962</v>
      </c>
      <c r="H150" s="1552">
        <v>1997</v>
      </c>
      <c r="I150" s="1552">
        <v>2045</v>
      </c>
      <c r="S150" s="1552">
        <f t="shared" si="7"/>
        <v>7</v>
      </c>
    </row>
    <row r="151" spans="2:19" s="1552" customFormat="1" x14ac:dyDescent="0.2">
      <c r="B151" s="1557">
        <v>2</v>
      </c>
      <c r="C151" s="1552">
        <v>1794</v>
      </c>
      <c r="D151" s="1552">
        <v>1861</v>
      </c>
      <c r="E151" s="1552">
        <v>1925</v>
      </c>
      <c r="F151" s="1552">
        <v>1997</v>
      </c>
      <c r="G151" s="1552">
        <v>2045</v>
      </c>
      <c r="H151" s="1552">
        <v>2101</v>
      </c>
      <c r="I151" s="1552">
        <v>2169</v>
      </c>
      <c r="J151" s="1552">
        <v>2232</v>
      </c>
      <c r="S151" s="1552">
        <f t="shared" si="7"/>
        <v>8</v>
      </c>
    </row>
    <row r="152" spans="2:19" s="1552" customFormat="1" x14ac:dyDescent="0.2">
      <c r="B152" s="1557">
        <v>3</v>
      </c>
      <c r="C152" s="1552">
        <v>1794</v>
      </c>
      <c r="D152" s="1552">
        <v>1925</v>
      </c>
      <c r="E152" s="1552">
        <v>1997</v>
      </c>
      <c r="F152" s="1552">
        <v>2101</v>
      </c>
      <c r="G152" s="1552">
        <v>2169</v>
      </c>
      <c r="H152" s="1552">
        <v>2232</v>
      </c>
      <c r="I152" s="1552">
        <v>2294</v>
      </c>
      <c r="J152" s="1552">
        <v>2355</v>
      </c>
      <c r="K152" s="1552">
        <v>2416</v>
      </c>
      <c r="S152" s="1552">
        <f t="shared" si="7"/>
        <v>9</v>
      </c>
    </row>
    <row r="153" spans="2:19" s="1552" customFormat="1" x14ac:dyDescent="0.2">
      <c r="B153" s="1557">
        <v>4</v>
      </c>
      <c r="C153" s="1552">
        <v>1826</v>
      </c>
      <c r="D153" s="1552">
        <v>1925</v>
      </c>
      <c r="E153" s="1552">
        <v>1997</v>
      </c>
      <c r="F153" s="1552">
        <v>2101</v>
      </c>
      <c r="G153" s="1552">
        <v>2169</v>
      </c>
      <c r="H153" s="1552">
        <v>2232</v>
      </c>
      <c r="I153" s="1552">
        <v>2294</v>
      </c>
      <c r="J153" s="1552">
        <v>2355</v>
      </c>
      <c r="K153" s="1552">
        <v>2416</v>
      </c>
      <c r="L153" s="1552">
        <v>2474</v>
      </c>
      <c r="M153" s="1552">
        <v>2532</v>
      </c>
      <c r="S153" s="1552">
        <f t="shared" si="7"/>
        <v>11</v>
      </c>
    </row>
    <row r="154" spans="2:19" s="1552" customFormat="1" x14ac:dyDescent="0.2">
      <c r="B154" s="1557">
        <v>5</v>
      </c>
      <c r="C154" s="1552">
        <v>1861</v>
      </c>
      <c r="D154" s="1552">
        <v>1925</v>
      </c>
      <c r="E154" s="1552">
        <v>1997</v>
      </c>
      <c r="F154" s="1552">
        <v>2101</v>
      </c>
      <c r="G154" s="1552">
        <v>2232</v>
      </c>
      <c r="H154" s="1552">
        <v>2294</v>
      </c>
      <c r="I154" s="1552">
        <v>2355</v>
      </c>
      <c r="J154" s="1552">
        <v>2416</v>
      </c>
      <c r="K154" s="1552">
        <v>2474</v>
      </c>
      <c r="L154" s="1552">
        <v>2532</v>
      </c>
      <c r="M154" s="1552">
        <v>2592</v>
      </c>
      <c r="N154" s="1552">
        <v>2659</v>
      </c>
      <c r="S154" s="1552">
        <f t="shared" si="7"/>
        <v>12</v>
      </c>
    </row>
    <row r="155" spans="2:19" s="1552" customFormat="1" x14ac:dyDescent="0.2">
      <c r="B155" s="1557">
        <v>6</v>
      </c>
      <c r="C155" s="1552">
        <v>1925</v>
      </c>
      <c r="D155" s="1552">
        <v>1997</v>
      </c>
      <c r="E155" s="1552">
        <v>2232</v>
      </c>
      <c r="F155" s="1552">
        <v>2355</v>
      </c>
      <c r="G155" s="1552">
        <v>2416</v>
      </c>
      <c r="H155" s="1552">
        <v>2474</v>
      </c>
      <c r="I155" s="1552">
        <v>2532</v>
      </c>
      <c r="J155" s="1552">
        <v>2592</v>
      </c>
      <c r="K155" s="1552">
        <v>2659</v>
      </c>
      <c r="L155" s="1552">
        <v>2724</v>
      </c>
      <c r="M155" s="1552">
        <v>2785</v>
      </c>
      <c r="S155" s="1552">
        <f t="shared" si="7"/>
        <v>11</v>
      </c>
    </row>
    <row r="156" spans="2:19" s="1552" customFormat="1" x14ac:dyDescent="0.2">
      <c r="B156" s="1557">
        <v>7</v>
      </c>
      <c r="C156" s="1552">
        <v>2045</v>
      </c>
      <c r="D156" s="1552">
        <v>2101</v>
      </c>
      <c r="E156" s="1552">
        <v>2232</v>
      </c>
      <c r="F156" s="1552">
        <v>2474</v>
      </c>
      <c r="G156" s="1552">
        <v>2592</v>
      </c>
      <c r="H156" s="1552">
        <v>2659</v>
      </c>
      <c r="I156" s="1552">
        <v>2724</v>
      </c>
      <c r="J156" s="1552">
        <v>2785</v>
      </c>
      <c r="K156" s="1552">
        <v>2851</v>
      </c>
      <c r="L156" s="1552">
        <v>2920</v>
      </c>
      <c r="M156" s="1552">
        <v>2988</v>
      </c>
      <c r="N156" s="1552">
        <v>3068</v>
      </c>
      <c r="S156" s="1552">
        <f t="shared" si="7"/>
        <v>12</v>
      </c>
    </row>
    <row r="157" spans="2:19" s="1552" customFormat="1" x14ac:dyDescent="0.2">
      <c r="B157" s="1557">
        <v>8</v>
      </c>
      <c r="C157" s="1552">
        <v>2294</v>
      </c>
      <c r="D157" s="1552">
        <v>2355</v>
      </c>
      <c r="E157" s="1552">
        <v>2474</v>
      </c>
      <c r="F157" s="1552">
        <v>2724</v>
      </c>
      <c r="G157" s="1552">
        <v>2851</v>
      </c>
      <c r="H157" s="1552">
        <v>2988</v>
      </c>
      <c r="I157" s="1552">
        <v>3068</v>
      </c>
      <c r="J157" s="1552">
        <v>3140</v>
      </c>
      <c r="K157" s="1552">
        <v>3204</v>
      </c>
      <c r="L157" s="1552">
        <v>3274</v>
      </c>
      <c r="M157" s="1552">
        <v>3342</v>
      </c>
      <c r="N157" s="1552">
        <v>3406</v>
      </c>
      <c r="O157" s="1552">
        <v>3467</v>
      </c>
      <c r="S157" s="1552">
        <f t="shared" si="7"/>
        <v>13</v>
      </c>
    </row>
    <row r="158" spans="2:19" s="1552" customFormat="1" x14ac:dyDescent="0.2">
      <c r="B158" s="1557">
        <v>9</v>
      </c>
      <c r="C158" s="1552">
        <v>2592</v>
      </c>
      <c r="D158" s="1552">
        <v>2724</v>
      </c>
      <c r="E158" s="1552">
        <v>2988</v>
      </c>
      <c r="F158" s="1552">
        <v>3140</v>
      </c>
      <c r="G158" s="1552">
        <v>3274</v>
      </c>
      <c r="H158" s="1552">
        <v>3406</v>
      </c>
      <c r="I158" s="1552">
        <v>3533</v>
      </c>
      <c r="J158" s="1552">
        <v>3659</v>
      </c>
      <c r="K158" s="1552">
        <v>3795</v>
      </c>
      <c r="L158" s="1552">
        <v>3916</v>
      </c>
      <c r="S158" s="1552">
        <f t="shared" si="7"/>
        <v>10</v>
      </c>
    </row>
    <row r="159" spans="2:19" s="1552" customFormat="1" x14ac:dyDescent="0.2">
      <c r="B159" s="1557">
        <v>10</v>
      </c>
      <c r="C159" s="1552">
        <v>2592</v>
      </c>
      <c r="D159" s="1552">
        <v>2851</v>
      </c>
      <c r="E159" s="1552">
        <v>2988</v>
      </c>
      <c r="F159" s="1552">
        <v>3140</v>
      </c>
      <c r="G159" s="1552">
        <v>3274</v>
      </c>
      <c r="H159" s="1552">
        <v>3406</v>
      </c>
      <c r="I159" s="1552">
        <v>3533</v>
      </c>
      <c r="J159" s="1552">
        <v>3659</v>
      </c>
      <c r="K159" s="1552">
        <v>3795</v>
      </c>
      <c r="L159" s="1552">
        <v>3916</v>
      </c>
      <c r="M159" s="1552">
        <v>4041</v>
      </c>
      <c r="N159" s="1552">
        <v>4162</v>
      </c>
      <c r="O159" s="1552">
        <v>4301</v>
      </c>
      <c r="S159" s="1552">
        <f t="shared" si="7"/>
        <v>13</v>
      </c>
    </row>
    <row r="160" spans="2:19" s="1552" customFormat="1" x14ac:dyDescent="0.2">
      <c r="B160" s="1557">
        <v>11</v>
      </c>
      <c r="C160" s="1552">
        <v>2724</v>
      </c>
      <c r="D160" s="1552">
        <v>2851</v>
      </c>
      <c r="E160" s="1552">
        <v>2992</v>
      </c>
      <c r="F160" s="1552">
        <v>3142</v>
      </c>
      <c r="G160" s="1552">
        <v>3283</v>
      </c>
      <c r="H160" s="1552">
        <v>3425</v>
      </c>
      <c r="I160" s="1552">
        <v>3568</v>
      </c>
      <c r="J160" s="1552">
        <v>3795</v>
      </c>
      <c r="K160" s="1552">
        <v>3947</v>
      </c>
      <c r="L160" s="1552">
        <v>4099</v>
      </c>
      <c r="M160" s="1552">
        <v>4251</v>
      </c>
      <c r="N160" s="1552">
        <v>4404</v>
      </c>
      <c r="O160" s="1552">
        <v>4556</v>
      </c>
      <c r="P160" s="1552">
        <v>4708</v>
      </c>
      <c r="Q160" s="1552">
        <v>4861</v>
      </c>
      <c r="R160" s="1552">
        <v>5012</v>
      </c>
      <c r="S160" s="1552">
        <f t="shared" si="7"/>
        <v>16</v>
      </c>
    </row>
    <row r="161" spans="2:19" s="1552" customFormat="1" x14ac:dyDescent="0.2">
      <c r="B161" s="1557">
        <v>12</v>
      </c>
      <c r="C161" s="1552">
        <v>2851</v>
      </c>
      <c r="D161" s="1552">
        <v>3019</v>
      </c>
      <c r="E161" s="1552">
        <v>3214</v>
      </c>
      <c r="F161" s="1552">
        <v>3410</v>
      </c>
      <c r="G161" s="1552">
        <v>3605</v>
      </c>
      <c r="H161" s="1552">
        <v>3826</v>
      </c>
      <c r="I161" s="1552">
        <v>4072</v>
      </c>
      <c r="J161" s="1552">
        <v>4346</v>
      </c>
      <c r="K161" s="1552">
        <v>4644</v>
      </c>
      <c r="L161" s="1552">
        <v>4970</v>
      </c>
      <c r="M161" s="1552">
        <v>5321</v>
      </c>
      <c r="N161" s="1552">
        <v>5699</v>
      </c>
      <c r="S161" s="1552">
        <f t="shared" si="7"/>
        <v>12</v>
      </c>
    </row>
    <row r="162" spans="2:19" s="1552" customFormat="1" x14ac:dyDescent="0.2">
      <c r="B162" s="1557">
        <v>13</v>
      </c>
      <c r="C162" s="1552">
        <v>4435</v>
      </c>
      <c r="D162" s="1552">
        <v>4569</v>
      </c>
      <c r="E162" s="1552">
        <v>4694</v>
      </c>
      <c r="F162" s="1552">
        <v>4823</v>
      </c>
      <c r="G162" s="1552">
        <v>4947</v>
      </c>
      <c r="H162" s="1552">
        <v>5206</v>
      </c>
      <c r="I162" s="1552">
        <v>5331</v>
      </c>
      <c r="J162" s="1552">
        <v>5458</v>
      </c>
      <c r="K162" s="1552">
        <v>5618</v>
      </c>
      <c r="L162" s="1552">
        <v>5779</v>
      </c>
      <c r="M162" s="1552">
        <v>5939</v>
      </c>
      <c r="N162" s="1552">
        <v>6100</v>
      </c>
      <c r="O162" s="1552">
        <v>6178</v>
      </c>
      <c r="S162" s="1552">
        <f t="shared" si="7"/>
        <v>13</v>
      </c>
    </row>
    <row r="163" spans="2:19" s="1552" customFormat="1" x14ac:dyDescent="0.2">
      <c r="B163" s="1557">
        <v>14</v>
      </c>
      <c r="C163" s="1552">
        <v>5078</v>
      </c>
      <c r="D163" s="1552">
        <v>5206</v>
      </c>
      <c r="E163" s="1552">
        <v>5458</v>
      </c>
      <c r="F163" s="1552">
        <v>5618</v>
      </c>
      <c r="G163" s="1552">
        <v>5779</v>
      </c>
      <c r="H163" s="1552">
        <v>5939</v>
      </c>
      <c r="I163" s="1552">
        <v>6100</v>
      </c>
      <c r="J163" s="1552">
        <v>6262</v>
      </c>
      <c r="K163" s="1552">
        <v>6431</v>
      </c>
      <c r="L163" s="1552">
        <v>6606</v>
      </c>
      <c r="M163" s="1552">
        <v>6786</v>
      </c>
      <c r="S163" s="1552">
        <f t="shared" si="7"/>
        <v>11</v>
      </c>
    </row>
    <row r="164" spans="2:19" s="1552" customFormat="1" x14ac:dyDescent="0.2">
      <c r="B164" s="1557">
        <v>15</v>
      </c>
      <c r="C164" s="1552">
        <v>5331</v>
      </c>
      <c r="D164" s="1552">
        <v>5458</v>
      </c>
      <c r="E164" s="1552">
        <v>5618</v>
      </c>
      <c r="F164" s="1552">
        <v>5939</v>
      </c>
      <c r="G164" s="1552">
        <v>6100</v>
      </c>
      <c r="H164" s="1552">
        <v>6262</v>
      </c>
      <c r="I164" s="1552">
        <v>6431</v>
      </c>
      <c r="J164" s="1552">
        <v>6606</v>
      </c>
      <c r="K164" s="1552">
        <v>6786</v>
      </c>
      <c r="L164" s="1552">
        <v>7001</v>
      </c>
      <c r="M164" s="1552">
        <v>7223</v>
      </c>
      <c r="N164" s="1552">
        <v>7451</v>
      </c>
      <c r="S164" s="1552">
        <f t="shared" si="7"/>
        <v>12</v>
      </c>
    </row>
    <row r="165" spans="2:19" s="1552" customFormat="1" x14ac:dyDescent="0.2">
      <c r="B165" s="1557">
        <v>16</v>
      </c>
      <c r="C165" s="1552">
        <v>5779</v>
      </c>
      <c r="D165" s="1552">
        <v>5939</v>
      </c>
      <c r="E165" s="1552">
        <v>6100</v>
      </c>
      <c r="F165" s="1552">
        <v>6431</v>
      </c>
      <c r="G165" s="1552">
        <v>6606</v>
      </c>
      <c r="H165" s="1552">
        <v>6786</v>
      </c>
      <c r="I165" s="1552">
        <v>7001</v>
      </c>
      <c r="J165" s="1552">
        <v>7223</v>
      </c>
      <c r="K165" s="1552">
        <v>7451</v>
      </c>
      <c r="L165" s="1552">
        <v>7690</v>
      </c>
      <c r="M165" s="1552">
        <v>7932</v>
      </c>
      <c r="N165" s="1552">
        <v>8185</v>
      </c>
      <c r="S165" s="1552">
        <f t="shared" si="7"/>
        <v>12</v>
      </c>
    </row>
    <row r="166" spans="2:19" s="1552" customFormat="1" x14ac:dyDescent="0.2">
      <c r="B166" s="1557">
        <v>17</v>
      </c>
      <c r="C166" s="1552">
        <v>6262</v>
      </c>
      <c r="D166" s="1552">
        <v>6431</v>
      </c>
      <c r="E166" s="1552">
        <v>6606</v>
      </c>
      <c r="F166" s="1552">
        <v>7001</v>
      </c>
      <c r="G166" s="1552">
        <v>7223</v>
      </c>
      <c r="H166" s="1552">
        <v>7451</v>
      </c>
      <c r="I166" s="1552">
        <v>7690</v>
      </c>
      <c r="J166" s="1552">
        <v>7932</v>
      </c>
      <c r="K166" s="1552">
        <v>8185</v>
      </c>
      <c r="L166" s="1552">
        <v>8446</v>
      </c>
      <c r="M166" s="1552">
        <v>8714</v>
      </c>
      <c r="N166" s="1552">
        <v>8990</v>
      </c>
      <c r="S166" s="1552">
        <f t="shared" si="7"/>
        <v>12</v>
      </c>
    </row>
    <row r="167" spans="2:19" s="1552" customFormat="1" x14ac:dyDescent="0.2">
      <c r="B167" s="1557" t="s">
        <v>116</v>
      </c>
      <c r="C167" s="1552">
        <v>1727.86</v>
      </c>
      <c r="D167" s="1552">
        <v>1741.93</v>
      </c>
      <c r="E167" s="1552">
        <v>1756</v>
      </c>
      <c r="F167" s="1552">
        <v>1826</v>
      </c>
      <c r="G167" s="1552">
        <v>1893</v>
      </c>
      <c r="H167" s="1552">
        <v>1925</v>
      </c>
      <c r="I167" s="1552">
        <v>1962</v>
      </c>
      <c r="J167" s="1552">
        <v>1997</v>
      </c>
      <c r="K167" s="1552">
        <v>2045</v>
      </c>
      <c r="S167" s="1552">
        <f t="shared" si="7"/>
        <v>9</v>
      </c>
    </row>
    <row r="168" spans="2:19" s="1552" customFormat="1" x14ac:dyDescent="0.2">
      <c r="B168" s="1557" t="s">
        <v>117</v>
      </c>
      <c r="C168" s="1552">
        <v>1794</v>
      </c>
      <c r="D168" s="1552">
        <v>1861</v>
      </c>
      <c r="E168" s="1552">
        <v>1925</v>
      </c>
      <c r="F168" s="1552">
        <v>1997</v>
      </c>
      <c r="G168" s="1552">
        <v>2045</v>
      </c>
      <c r="H168" s="1552">
        <v>2101</v>
      </c>
      <c r="I168" s="1552">
        <v>2169</v>
      </c>
      <c r="J168" s="1552">
        <v>2232</v>
      </c>
      <c r="S168" s="1552">
        <f t="shared" si="7"/>
        <v>8</v>
      </c>
    </row>
    <row r="169" spans="2:19" s="1552" customFormat="1" x14ac:dyDescent="0.2">
      <c r="B169" s="1557" t="s">
        <v>118</v>
      </c>
      <c r="C169" s="1552">
        <v>1794</v>
      </c>
      <c r="D169" s="1552">
        <v>1925</v>
      </c>
      <c r="E169" s="1552">
        <v>1997</v>
      </c>
      <c r="F169" s="1552">
        <v>2101</v>
      </c>
      <c r="G169" s="1552">
        <v>2169</v>
      </c>
      <c r="H169" s="1552">
        <v>2232</v>
      </c>
      <c r="I169" s="1552">
        <v>2294</v>
      </c>
      <c r="J169" s="1552">
        <v>2355</v>
      </c>
      <c r="K169" s="1552">
        <v>2416</v>
      </c>
      <c r="S169" s="1552">
        <f t="shared" si="7"/>
        <v>9</v>
      </c>
    </row>
    <row r="170" spans="2:19" s="1552" customFormat="1" x14ac:dyDescent="0.2">
      <c r="B170" s="1557" t="s">
        <v>370</v>
      </c>
      <c r="C170" s="1552">
        <v>1425</v>
      </c>
      <c r="S170" s="1552">
        <f t="shared" si="7"/>
        <v>1</v>
      </c>
    </row>
  </sheetData>
  <sheetProtection algorithmName="SHA-512" hashValue="sgKedLspYNf0EdVgrlxGhWzHZxYCHBMoNl1crj6g4oGM6s47/vzRqLA1W05qCdV/kf1RW7m48mqyd+LEMuoKCw==" saltValue="UjovlDUeF1BSx6LY1mnxkw==" spinCount="100000" sheet="1" objects="1" scenarios="1"/>
  <printOptions gridLines="1"/>
  <pageMargins left="0.70866141732283472" right="0.70866141732283472" top="0.74803149606299213" bottom="0.74803149606299213" header="0.31496062992125984" footer="0.31496062992125984"/>
  <pageSetup paperSize="9" scale="45" orientation="landscape" r:id="rId1"/>
  <rowBreaks count="1" manualBreakCount="1">
    <brk id="58" max="16383"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AV218"/>
  <sheetViews>
    <sheetView zoomScale="85" zoomScaleNormal="85" workbookViewId="0">
      <selection activeCell="B2" sqref="B2"/>
    </sheetView>
  </sheetViews>
  <sheetFormatPr defaultRowHeight="12.75" x14ac:dyDescent="0.2"/>
  <cols>
    <col min="1" max="1" width="3.7109375" style="109" customWidth="1"/>
    <col min="2" max="3" width="2.7109375" style="109" customWidth="1"/>
    <col min="4" max="4" width="4.5703125" style="110" customWidth="1"/>
    <col min="5" max="5" width="25.7109375" style="110" customWidth="1"/>
    <col min="6" max="6" width="7.7109375" style="111" customWidth="1"/>
    <col min="7" max="7" width="2" style="112" customWidth="1"/>
    <col min="8" max="8" width="8.7109375" style="112" hidden="1" customWidth="1"/>
    <col min="9" max="13" width="8.7109375" style="112" customWidth="1"/>
    <col min="14" max="14" width="8.7109375" style="112" hidden="1" customWidth="1"/>
    <col min="15" max="15" width="1.7109375" style="112" customWidth="1"/>
    <col min="16" max="16" width="12.7109375" style="109" hidden="1" customWidth="1"/>
    <col min="17" max="21" width="12.7109375" style="109" customWidth="1"/>
    <col min="22" max="22" width="12.7109375" style="109" hidden="1" customWidth="1"/>
    <col min="23" max="23" width="1.7109375" style="112" customWidth="1"/>
    <col min="24" max="24" width="12.7109375" style="109" hidden="1" customWidth="1"/>
    <col min="25" max="29" width="12.7109375" style="109" customWidth="1"/>
    <col min="30" max="30" width="12.7109375" style="109" hidden="1" customWidth="1"/>
    <col min="31" max="31" width="1.7109375" style="112" customWidth="1"/>
    <col min="32" max="32" width="12.7109375" style="109" hidden="1" customWidth="1"/>
    <col min="33" max="37" width="12.7109375" style="109" customWidth="1"/>
    <col min="38" max="38" width="12.7109375" style="109" hidden="1" customWidth="1"/>
    <col min="39" max="39" width="1.7109375" style="112" customWidth="1"/>
    <col min="40" max="40" width="12.7109375" style="109" hidden="1" customWidth="1"/>
    <col min="41" max="45" width="12.7109375" style="109" customWidth="1"/>
    <col min="46" max="46" width="12.7109375" style="109" hidden="1" customWidth="1"/>
    <col min="47" max="48" width="2.7109375" style="109" customWidth="1"/>
    <col min="49" max="16384" width="9.140625" style="109"/>
  </cols>
  <sheetData>
    <row r="2" spans="2:48" x14ac:dyDescent="0.2">
      <c r="B2" s="71"/>
      <c r="C2" s="945"/>
      <c r="D2" s="946"/>
      <c r="E2" s="946"/>
      <c r="F2" s="947"/>
      <c r="G2" s="948"/>
      <c r="H2" s="948"/>
      <c r="I2" s="948"/>
      <c r="J2" s="948"/>
      <c r="K2" s="948"/>
      <c r="L2" s="948"/>
      <c r="M2" s="948"/>
      <c r="N2" s="948"/>
      <c r="O2" s="948"/>
      <c r="P2" s="945"/>
      <c r="Q2" s="945"/>
      <c r="R2" s="945"/>
      <c r="S2" s="945"/>
      <c r="T2" s="945"/>
      <c r="U2" s="945"/>
      <c r="V2" s="945"/>
      <c r="W2" s="948"/>
      <c r="X2" s="945"/>
      <c r="Y2" s="945"/>
      <c r="Z2" s="945"/>
      <c r="AA2" s="945"/>
      <c r="AB2" s="945"/>
      <c r="AC2" s="945"/>
      <c r="AD2" s="945"/>
      <c r="AE2" s="948"/>
      <c r="AF2" s="945"/>
      <c r="AG2" s="945"/>
      <c r="AH2" s="945"/>
      <c r="AI2" s="945"/>
      <c r="AJ2" s="945"/>
      <c r="AK2" s="945"/>
      <c r="AL2" s="945"/>
      <c r="AM2" s="948"/>
      <c r="AN2" s="945"/>
      <c r="AO2" s="945"/>
      <c r="AP2" s="945"/>
      <c r="AQ2" s="945"/>
      <c r="AR2" s="945"/>
      <c r="AS2" s="945"/>
      <c r="AT2" s="945"/>
      <c r="AU2" s="945"/>
      <c r="AV2" s="74"/>
    </row>
    <row r="3" spans="2:48" x14ac:dyDescent="0.2">
      <c r="B3" s="883"/>
      <c r="C3" s="76"/>
      <c r="D3" s="120"/>
      <c r="E3" s="120"/>
      <c r="F3" s="121"/>
      <c r="G3" s="69"/>
      <c r="H3" s="69"/>
      <c r="I3" s="69"/>
      <c r="J3" s="69"/>
      <c r="K3" s="69"/>
      <c r="L3" s="69"/>
      <c r="M3" s="69"/>
      <c r="N3" s="69"/>
      <c r="O3" s="69"/>
      <c r="P3" s="76"/>
      <c r="Q3" s="76"/>
      <c r="R3" s="76"/>
      <c r="S3" s="76"/>
      <c r="T3" s="76"/>
      <c r="U3" s="76"/>
      <c r="V3" s="76"/>
      <c r="W3" s="69"/>
      <c r="X3" s="76"/>
      <c r="Y3" s="76"/>
      <c r="Z3" s="76"/>
      <c r="AA3" s="76"/>
      <c r="AB3" s="76"/>
      <c r="AC3" s="76"/>
      <c r="AD3" s="76"/>
      <c r="AE3" s="69"/>
      <c r="AF3" s="76"/>
      <c r="AG3" s="76"/>
      <c r="AH3" s="76"/>
      <c r="AI3" s="76"/>
      <c r="AJ3" s="76"/>
      <c r="AK3" s="76"/>
      <c r="AL3" s="76"/>
      <c r="AM3" s="69"/>
      <c r="AN3" s="76"/>
      <c r="AO3" s="76"/>
      <c r="AP3" s="76"/>
      <c r="AQ3" s="76"/>
      <c r="AR3" s="76"/>
      <c r="AS3" s="76"/>
      <c r="AT3" s="76"/>
      <c r="AU3" s="76"/>
      <c r="AV3" s="77"/>
    </row>
    <row r="4" spans="2:48" s="10" customFormat="1" ht="18.75" x14ac:dyDescent="0.3">
      <c r="B4" s="949"/>
      <c r="C4" s="54" t="s">
        <v>372</v>
      </c>
      <c r="D4" s="87"/>
      <c r="E4" s="57"/>
      <c r="F4" s="122"/>
      <c r="G4" s="86"/>
      <c r="H4" s="86"/>
      <c r="I4" s="86"/>
      <c r="J4" s="86"/>
      <c r="K4" s="86"/>
      <c r="L4" s="86"/>
      <c r="M4" s="86"/>
      <c r="N4" s="86"/>
      <c r="O4" s="86"/>
      <c r="P4" s="57"/>
      <c r="Q4" s="57"/>
      <c r="R4" s="57"/>
      <c r="S4" s="57"/>
      <c r="T4" s="57"/>
      <c r="U4" s="57"/>
      <c r="V4" s="57"/>
      <c r="W4" s="86"/>
      <c r="X4" s="57"/>
      <c r="Y4" s="57"/>
      <c r="Z4" s="57"/>
      <c r="AA4" s="57"/>
      <c r="AB4" s="57"/>
      <c r="AC4" s="57"/>
      <c r="AD4" s="57"/>
      <c r="AE4" s="86"/>
      <c r="AF4" s="57"/>
      <c r="AG4" s="57"/>
      <c r="AH4" s="57"/>
      <c r="AI4" s="57"/>
      <c r="AJ4" s="57"/>
      <c r="AK4" s="57"/>
      <c r="AL4" s="57"/>
      <c r="AM4" s="86"/>
      <c r="AN4" s="57"/>
      <c r="AO4" s="57"/>
      <c r="AP4" s="57"/>
      <c r="AQ4" s="57"/>
      <c r="AR4" s="57"/>
      <c r="AS4" s="57"/>
      <c r="AT4" s="57"/>
      <c r="AU4" s="57"/>
      <c r="AV4" s="88"/>
    </row>
    <row r="5" spans="2:48" s="113" customFormat="1" x14ac:dyDescent="0.2">
      <c r="B5" s="950"/>
      <c r="C5" s="63" t="s">
        <v>268</v>
      </c>
      <c r="D5" s="123"/>
      <c r="E5" s="56"/>
      <c r="F5" s="124"/>
      <c r="G5" s="125"/>
      <c r="H5" s="125"/>
      <c r="I5" s="125"/>
      <c r="J5" s="125"/>
      <c r="K5" s="125"/>
      <c r="L5" s="125"/>
      <c r="M5" s="125"/>
      <c r="N5" s="125"/>
      <c r="O5" s="125"/>
      <c r="P5" s="56"/>
      <c r="Q5" s="56"/>
      <c r="R5" s="56"/>
      <c r="S5" s="56"/>
      <c r="T5" s="56"/>
      <c r="U5" s="56"/>
      <c r="V5" s="56"/>
      <c r="W5" s="125"/>
      <c r="X5" s="56"/>
      <c r="Y5" s="56"/>
      <c r="Z5" s="56"/>
      <c r="AA5" s="56"/>
      <c r="AB5" s="56"/>
      <c r="AC5" s="56"/>
      <c r="AD5" s="56"/>
      <c r="AE5" s="125"/>
      <c r="AF5" s="56"/>
      <c r="AG5" s="56"/>
      <c r="AH5" s="56"/>
      <c r="AI5" s="56"/>
      <c r="AJ5" s="56"/>
      <c r="AK5" s="56"/>
      <c r="AL5" s="56"/>
      <c r="AM5" s="125"/>
      <c r="AN5" s="56"/>
      <c r="AO5" s="56"/>
      <c r="AP5" s="56"/>
      <c r="AQ5" s="56"/>
      <c r="AR5" s="56"/>
      <c r="AS5" s="56"/>
      <c r="AT5" s="56"/>
      <c r="AU5" s="56"/>
      <c r="AV5" s="90"/>
    </row>
    <row r="6" spans="2:48" s="113" customFormat="1" x14ac:dyDescent="0.2">
      <c r="B6" s="950"/>
      <c r="C6" s="123"/>
      <c r="D6" s="123"/>
      <c r="E6" s="56"/>
      <c r="F6" s="124"/>
      <c r="G6" s="125"/>
      <c r="H6" s="125"/>
      <c r="I6" s="125"/>
      <c r="J6" s="125"/>
      <c r="K6" s="125"/>
      <c r="L6" s="125"/>
      <c r="M6" s="125"/>
      <c r="N6" s="125"/>
      <c r="O6" s="125"/>
      <c r="P6" s="56"/>
      <c r="Q6" s="56"/>
      <c r="R6" s="56"/>
      <c r="S6" s="56"/>
      <c r="T6" s="56"/>
      <c r="U6" s="56"/>
      <c r="V6" s="56"/>
      <c r="W6" s="125"/>
      <c r="X6" s="56"/>
      <c r="Y6" s="56"/>
      <c r="Z6" s="56"/>
      <c r="AA6" s="56"/>
      <c r="AB6" s="56"/>
      <c r="AC6" s="56"/>
      <c r="AD6" s="56"/>
      <c r="AE6" s="125"/>
      <c r="AF6" s="56"/>
      <c r="AG6" s="56"/>
      <c r="AH6" s="56"/>
      <c r="AI6" s="56"/>
      <c r="AJ6" s="56"/>
      <c r="AK6" s="56"/>
      <c r="AL6" s="56"/>
      <c r="AM6" s="125"/>
      <c r="AN6" s="56"/>
      <c r="AO6" s="56"/>
      <c r="AP6" s="56"/>
      <c r="AQ6" s="56"/>
      <c r="AR6" s="56"/>
      <c r="AS6" s="56"/>
      <c r="AT6" s="56"/>
      <c r="AU6" s="56"/>
      <c r="AV6" s="90"/>
    </row>
    <row r="7" spans="2:48" s="113" customFormat="1" x14ac:dyDescent="0.2">
      <c r="B7" s="950"/>
      <c r="C7" s="123"/>
      <c r="D7" s="123"/>
      <c r="E7" s="56"/>
      <c r="F7" s="124"/>
      <c r="G7" s="125"/>
      <c r="H7" s="125"/>
      <c r="I7" s="125"/>
      <c r="J7" s="125"/>
      <c r="K7" s="125"/>
      <c r="L7" s="125"/>
      <c r="M7" s="125"/>
      <c r="N7" s="125"/>
      <c r="O7" s="125"/>
      <c r="P7" s="56"/>
      <c r="Q7" s="56"/>
      <c r="R7" s="56"/>
      <c r="S7" s="56"/>
      <c r="T7" s="56"/>
      <c r="U7" s="56"/>
      <c r="V7" s="56"/>
      <c r="W7" s="125"/>
      <c r="X7" s="56"/>
      <c r="Y7" s="56"/>
      <c r="Z7" s="56"/>
      <c r="AA7" s="56"/>
      <c r="AB7" s="56"/>
      <c r="AC7" s="56"/>
      <c r="AD7" s="56"/>
      <c r="AE7" s="125"/>
      <c r="AF7" s="56"/>
      <c r="AG7" s="56"/>
      <c r="AH7" s="56"/>
      <c r="AI7" s="56"/>
      <c r="AJ7" s="56"/>
      <c r="AK7" s="56"/>
      <c r="AL7" s="56"/>
      <c r="AM7" s="125"/>
      <c r="AN7" s="56"/>
      <c r="AO7" s="56"/>
      <c r="AP7" s="56"/>
      <c r="AQ7" s="56"/>
      <c r="AR7" s="56"/>
      <c r="AS7" s="56"/>
      <c r="AT7" s="56"/>
      <c r="AU7" s="56"/>
      <c r="AV7" s="90"/>
    </row>
    <row r="8" spans="2:48" x14ac:dyDescent="0.2">
      <c r="B8" s="883"/>
      <c r="C8" s="76"/>
      <c r="D8" s="120"/>
      <c r="E8" s="154" t="s">
        <v>269</v>
      </c>
      <c r="F8" s="155" t="s">
        <v>270</v>
      </c>
      <c r="G8" s="621"/>
      <c r="H8" s="621"/>
      <c r="I8" s="156" t="s">
        <v>583</v>
      </c>
      <c r="J8" s="51"/>
      <c r="K8" s="51"/>
      <c r="L8" s="51"/>
      <c r="M8" s="51"/>
      <c r="N8" s="51"/>
      <c r="O8" s="51"/>
      <c r="P8" s="58" t="s">
        <v>592</v>
      </c>
      <c r="Q8" s="58" t="s">
        <v>592</v>
      </c>
      <c r="R8" s="43"/>
      <c r="S8" s="43"/>
      <c r="T8" s="43"/>
      <c r="U8" s="43"/>
      <c r="V8" s="43"/>
      <c r="W8" s="51"/>
      <c r="X8" s="58" t="s">
        <v>271</v>
      </c>
      <c r="Y8" s="43"/>
      <c r="Z8" s="43"/>
      <c r="AA8" s="43"/>
      <c r="AB8" s="43"/>
      <c r="AC8" s="43"/>
      <c r="AD8" s="43"/>
      <c r="AE8" s="51"/>
      <c r="AF8" s="58" t="s">
        <v>272</v>
      </c>
      <c r="AG8" s="58" t="s">
        <v>272</v>
      </c>
      <c r="AH8" s="43"/>
      <c r="AI8" s="43"/>
      <c r="AJ8" s="43"/>
      <c r="AK8" s="43"/>
      <c r="AL8" s="43"/>
      <c r="AM8" s="51"/>
      <c r="AN8" s="58" t="s">
        <v>273</v>
      </c>
      <c r="AO8" s="58" t="s">
        <v>273</v>
      </c>
      <c r="AP8" s="76"/>
      <c r="AQ8" s="76"/>
      <c r="AR8" s="76"/>
      <c r="AS8" s="76"/>
      <c r="AT8" s="76"/>
      <c r="AU8" s="76"/>
      <c r="AV8" s="77"/>
    </row>
    <row r="9" spans="2:48" s="11" customFormat="1" x14ac:dyDescent="0.2">
      <c r="B9" s="951"/>
      <c r="C9" s="55"/>
      <c r="D9" s="63"/>
      <c r="E9" s="94"/>
      <c r="F9" s="157"/>
      <c r="G9" s="830"/>
      <c r="H9" s="830"/>
      <c r="I9" s="94" t="s">
        <v>514</v>
      </c>
      <c r="J9" s="93"/>
      <c r="K9" s="93"/>
      <c r="L9" s="93"/>
      <c r="M9" s="93"/>
      <c r="N9" s="93"/>
      <c r="O9" s="93"/>
      <c r="P9" s="153"/>
      <c r="Q9" s="153"/>
      <c r="R9" s="153"/>
      <c r="S9" s="153"/>
      <c r="T9" s="153"/>
      <c r="U9" s="153"/>
      <c r="V9" s="153"/>
      <c r="W9" s="93"/>
      <c r="X9" s="153"/>
      <c r="Y9" s="153"/>
      <c r="Z9" s="153"/>
      <c r="AA9" s="153"/>
      <c r="AB9" s="153"/>
      <c r="AC9" s="153"/>
      <c r="AD9" s="153"/>
      <c r="AE9" s="93"/>
      <c r="AF9" s="153"/>
      <c r="AG9" s="153"/>
      <c r="AH9" s="153"/>
      <c r="AI9" s="153"/>
      <c r="AJ9" s="153"/>
      <c r="AK9" s="153"/>
      <c r="AL9" s="153"/>
      <c r="AM9" s="93"/>
      <c r="AN9" s="153"/>
      <c r="AO9" s="55"/>
      <c r="AP9" s="55"/>
      <c r="AQ9" s="55"/>
      <c r="AR9" s="55"/>
      <c r="AS9" s="55"/>
      <c r="AT9" s="55"/>
      <c r="AU9" s="55"/>
      <c r="AV9" s="62"/>
    </row>
    <row r="10" spans="2:48" s="12" customFormat="1" x14ac:dyDescent="0.2">
      <c r="B10" s="952"/>
      <c r="C10" s="53"/>
      <c r="D10" s="52"/>
      <c r="E10" s="60"/>
      <c r="F10" s="155"/>
      <c r="G10" s="44"/>
      <c r="H10" s="590">
        <f>tab!E4</f>
        <v>2018</v>
      </c>
      <c r="I10" s="590">
        <f>tab!F4</f>
        <v>2019</v>
      </c>
      <c r="J10" s="590">
        <f>tab!G4</f>
        <v>2020</v>
      </c>
      <c r="K10" s="590">
        <f>tab!H4</f>
        <v>2021</v>
      </c>
      <c r="L10" s="590">
        <f>tab!I4</f>
        <v>2022</v>
      </c>
      <c r="M10" s="590">
        <f>tab!J4</f>
        <v>2023</v>
      </c>
      <c r="N10" s="590">
        <f>tab!K4</f>
        <v>2024</v>
      </c>
      <c r="O10" s="60"/>
      <c r="P10" s="590">
        <f>tab!F4</f>
        <v>2019</v>
      </c>
      <c r="Q10" s="590">
        <f>tab!G4</f>
        <v>2020</v>
      </c>
      <c r="R10" s="590">
        <f>tab!H4</f>
        <v>2021</v>
      </c>
      <c r="S10" s="590">
        <f>tab!I4</f>
        <v>2022</v>
      </c>
      <c r="T10" s="590">
        <f>tab!J4</f>
        <v>2023</v>
      </c>
      <c r="U10" s="590">
        <f>tab!K4</f>
        <v>2024</v>
      </c>
      <c r="V10" s="590">
        <f>tab!L4</f>
        <v>2025</v>
      </c>
      <c r="W10" s="60"/>
      <c r="X10" s="590">
        <f t="shared" ref="X10:AD10" si="0">P10</f>
        <v>2019</v>
      </c>
      <c r="Y10" s="590">
        <f t="shared" si="0"/>
        <v>2020</v>
      </c>
      <c r="Z10" s="590">
        <f t="shared" si="0"/>
        <v>2021</v>
      </c>
      <c r="AA10" s="590">
        <f t="shared" si="0"/>
        <v>2022</v>
      </c>
      <c r="AB10" s="590">
        <f t="shared" si="0"/>
        <v>2023</v>
      </c>
      <c r="AC10" s="590">
        <f t="shared" si="0"/>
        <v>2024</v>
      </c>
      <c r="AD10" s="590">
        <f t="shared" si="0"/>
        <v>2025</v>
      </c>
      <c r="AE10" s="60"/>
      <c r="AF10" s="590">
        <f>tab!F4</f>
        <v>2019</v>
      </c>
      <c r="AG10" s="590">
        <f>tab!G4</f>
        <v>2020</v>
      </c>
      <c r="AH10" s="590">
        <f>tab!H4</f>
        <v>2021</v>
      </c>
      <c r="AI10" s="590">
        <f>tab!I4</f>
        <v>2022</v>
      </c>
      <c r="AJ10" s="590">
        <f>tab!J4</f>
        <v>2023</v>
      </c>
      <c r="AK10" s="590">
        <f>tab!K4</f>
        <v>2024</v>
      </c>
      <c r="AL10" s="590">
        <f>tab!L4</f>
        <v>2025</v>
      </c>
      <c r="AM10" s="60"/>
      <c r="AN10" s="590">
        <f>tab!F4</f>
        <v>2019</v>
      </c>
      <c r="AO10" s="590">
        <f>tab!G4</f>
        <v>2020</v>
      </c>
      <c r="AP10" s="590">
        <f>tab!H4</f>
        <v>2021</v>
      </c>
      <c r="AQ10" s="590">
        <f>tab!I4</f>
        <v>2022</v>
      </c>
      <c r="AR10" s="590">
        <f>tab!J4</f>
        <v>2023</v>
      </c>
      <c r="AS10" s="590">
        <f>tab!K4</f>
        <v>2024</v>
      </c>
      <c r="AT10" s="590">
        <f>tab!L4</f>
        <v>2025</v>
      </c>
      <c r="AU10" s="53"/>
      <c r="AV10" s="131"/>
    </row>
    <row r="11" spans="2:48" s="112" customFormat="1" x14ac:dyDescent="0.2">
      <c r="B11" s="953"/>
      <c r="C11" s="69"/>
      <c r="D11" s="120"/>
      <c r="E11" s="158"/>
      <c r="F11" s="59"/>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159"/>
      <c r="AG11" s="93"/>
      <c r="AH11" s="93"/>
      <c r="AI11" s="93"/>
      <c r="AJ11" s="93"/>
      <c r="AK11" s="93"/>
      <c r="AL11" s="93"/>
      <c r="AM11" s="93"/>
      <c r="AN11" s="159"/>
      <c r="AO11" s="69"/>
      <c r="AP11" s="69"/>
      <c r="AQ11" s="69"/>
      <c r="AR11" s="69"/>
      <c r="AS11" s="69"/>
      <c r="AT11" s="69"/>
      <c r="AU11" s="69"/>
      <c r="AV11" s="133"/>
    </row>
    <row r="12" spans="2:48" s="112" customFormat="1" x14ac:dyDescent="0.2">
      <c r="B12" s="953"/>
      <c r="C12" s="1469" t="s">
        <v>385</v>
      </c>
      <c r="D12" s="1470"/>
      <c r="E12" s="989"/>
      <c r="F12" s="1471"/>
      <c r="G12" s="1468"/>
      <c r="H12" s="1002">
        <f t="shared" ref="H12:M12" si="1">+H141</f>
        <v>0</v>
      </c>
      <c r="I12" s="1002">
        <f t="shared" si="1"/>
        <v>0</v>
      </c>
      <c r="J12" s="1002">
        <f t="shared" si="1"/>
        <v>0</v>
      </c>
      <c r="K12" s="1002">
        <f t="shared" si="1"/>
        <v>0</v>
      </c>
      <c r="L12" s="1002">
        <f t="shared" si="1"/>
        <v>0</v>
      </c>
      <c r="M12" s="1002">
        <f t="shared" si="1"/>
        <v>0</v>
      </c>
      <c r="N12" s="1002">
        <f>+N141</f>
        <v>0</v>
      </c>
      <c r="O12" s="611"/>
      <c r="P12" s="612">
        <f t="shared" ref="P12:U12" si="2">+P141</f>
        <v>0</v>
      </c>
      <c r="Q12" s="612">
        <f t="shared" si="2"/>
        <v>0</v>
      </c>
      <c r="R12" s="612">
        <f t="shared" si="2"/>
        <v>0</v>
      </c>
      <c r="S12" s="612">
        <f t="shared" si="2"/>
        <v>0</v>
      </c>
      <c r="T12" s="612">
        <f t="shared" si="2"/>
        <v>0</v>
      </c>
      <c r="U12" s="612">
        <f t="shared" si="2"/>
        <v>0</v>
      </c>
      <c r="V12" s="612">
        <f>+V141</f>
        <v>0</v>
      </c>
      <c r="W12" s="611"/>
      <c r="X12" s="612">
        <f t="shared" ref="X12:AC12" si="3">+X141</f>
        <v>0</v>
      </c>
      <c r="Y12" s="612">
        <f t="shared" si="3"/>
        <v>0</v>
      </c>
      <c r="Z12" s="612">
        <f t="shared" si="3"/>
        <v>0</v>
      </c>
      <c r="AA12" s="612">
        <f t="shared" si="3"/>
        <v>0</v>
      </c>
      <c r="AB12" s="612">
        <f t="shared" si="3"/>
        <v>0</v>
      </c>
      <c r="AC12" s="612">
        <f t="shared" si="3"/>
        <v>0</v>
      </c>
      <c r="AD12" s="612">
        <f>+AD141</f>
        <v>0</v>
      </c>
      <c r="AE12" s="611"/>
      <c r="AF12" s="612">
        <f t="shared" ref="AF12:AK12" si="4">+AF141</f>
        <v>0</v>
      </c>
      <c r="AG12" s="612">
        <f t="shared" si="4"/>
        <v>0</v>
      </c>
      <c r="AH12" s="612">
        <f t="shared" si="4"/>
        <v>0</v>
      </c>
      <c r="AI12" s="612">
        <f t="shared" si="4"/>
        <v>0</v>
      </c>
      <c r="AJ12" s="612">
        <f t="shared" si="4"/>
        <v>0</v>
      </c>
      <c r="AK12" s="612">
        <f t="shared" si="4"/>
        <v>0</v>
      </c>
      <c r="AL12" s="612">
        <f>+AL141</f>
        <v>0</v>
      </c>
      <c r="AM12" s="611"/>
      <c r="AN12" s="612">
        <f t="shared" ref="AN12:AS12" si="5">+AN141</f>
        <v>0</v>
      </c>
      <c r="AO12" s="612">
        <f t="shared" si="5"/>
        <v>0</v>
      </c>
      <c r="AP12" s="612">
        <f t="shared" si="5"/>
        <v>0</v>
      </c>
      <c r="AQ12" s="612">
        <f t="shared" si="5"/>
        <v>0</v>
      </c>
      <c r="AR12" s="612">
        <f t="shared" si="5"/>
        <v>0</v>
      </c>
      <c r="AS12" s="612">
        <f t="shared" si="5"/>
        <v>0</v>
      </c>
      <c r="AT12" s="612">
        <f>+AT141</f>
        <v>0</v>
      </c>
      <c r="AU12" s="1472"/>
      <c r="AV12" s="133"/>
    </row>
    <row r="13" spans="2:48" s="112" customFormat="1" x14ac:dyDescent="0.2">
      <c r="B13" s="953"/>
      <c r="C13" s="69"/>
      <c r="D13" s="120"/>
      <c r="E13" s="158"/>
      <c r="F13" s="59"/>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159"/>
      <c r="AG13" s="93"/>
      <c r="AH13" s="93"/>
      <c r="AI13" s="93"/>
      <c r="AJ13" s="93"/>
      <c r="AK13" s="93"/>
      <c r="AL13" s="93"/>
      <c r="AM13" s="93"/>
      <c r="AN13" s="159"/>
      <c r="AO13" s="69"/>
      <c r="AP13" s="69"/>
      <c r="AQ13" s="69"/>
      <c r="AR13" s="69"/>
      <c r="AS13" s="69"/>
      <c r="AT13" s="69"/>
      <c r="AU13" s="69"/>
      <c r="AV13" s="133"/>
    </row>
    <row r="14" spans="2:48" s="112" customFormat="1" x14ac:dyDescent="0.2">
      <c r="B14" s="953"/>
      <c r="C14" s="146"/>
      <c r="D14" s="147"/>
      <c r="E14" s="147"/>
      <c r="F14" s="148"/>
      <c r="G14" s="857"/>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89"/>
      <c r="AV14" s="133"/>
    </row>
    <row r="15" spans="2:48" s="112" customFormat="1" x14ac:dyDescent="0.2">
      <c r="B15" s="953"/>
      <c r="C15" s="149"/>
      <c r="D15" s="49">
        <v>1</v>
      </c>
      <c r="E15" s="150" t="s">
        <v>621</v>
      </c>
      <c r="F15" s="971" t="s">
        <v>274</v>
      </c>
      <c r="G15" s="966"/>
      <c r="H15" s="954">
        <v>0</v>
      </c>
      <c r="I15" s="954">
        <f t="shared" ref="I15" si="6">+H15</f>
        <v>0</v>
      </c>
      <c r="J15" s="954">
        <f t="shared" ref="J15" si="7">+I15</f>
        <v>0</v>
      </c>
      <c r="K15" s="954">
        <f t="shared" ref="K15" si="8">+J15</f>
        <v>0</v>
      </c>
      <c r="L15" s="954">
        <f t="shared" ref="L15" si="9">+K15</f>
        <v>0</v>
      </c>
      <c r="M15" s="954">
        <f t="shared" ref="M15" si="10">+L15</f>
        <v>0</v>
      </c>
      <c r="N15" s="954">
        <f t="shared" ref="N15" si="11">+M15</f>
        <v>0</v>
      </c>
      <c r="O15" s="70"/>
      <c r="P15" s="67">
        <f>H15*tab!E$7</f>
        <v>0</v>
      </c>
      <c r="Q15" s="67">
        <f>I15*tab!F$7</f>
        <v>0</v>
      </c>
      <c r="R15" s="67">
        <f>J15*tab!G$7</f>
        <v>0</v>
      </c>
      <c r="S15" s="67">
        <f>K15*tab!H$7</f>
        <v>0</v>
      </c>
      <c r="T15" s="67">
        <f>L15*tab!I$7</f>
        <v>0</v>
      </c>
      <c r="U15" s="67">
        <f>M15*tab!J$7</f>
        <v>0</v>
      </c>
      <c r="V15" s="67">
        <f>N15*tab!K$7</f>
        <v>0</v>
      </c>
      <c r="W15" s="70"/>
      <c r="X15" s="119">
        <v>0</v>
      </c>
      <c r="Y15" s="119">
        <f t="shared" ref="Y15:AD30" si="12">X15</f>
        <v>0</v>
      </c>
      <c r="Z15" s="119">
        <f t="shared" si="12"/>
        <v>0</v>
      </c>
      <c r="AA15" s="119">
        <f t="shared" si="12"/>
        <v>0</v>
      </c>
      <c r="AB15" s="119">
        <f t="shared" si="12"/>
        <v>0</v>
      </c>
      <c r="AC15" s="119">
        <f t="shared" si="12"/>
        <v>0</v>
      </c>
      <c r="AD15" s="119">
        <f t="shared" si="12"/>
        <v>0</v>
      </c>
      <c r="AE15" s="70"/>
      <c r="AF15" s="67">
        <f>+H15*tab!D$8</f>
        <v>0</v>
      </c>
      <c r="AG15" s="67">
        <f>+I15*tab!E$8</f>
        <v>0</v>
      </c>
      <c r="AH15" s="67">
        <f>+J15*tab!F$8</f>
        <v>0</v>
      </c>
      <c r="AI15" s="67">
        <f>+K15*tab!G$8</f>
        <v>0</v>
      </c>
      <c r="AJ15" s="67">
        <f>+L15*tab!H$8</f>
        <v>0</v>
      </c>
      <c r="AK15" s="67">
        <f>+M15*tab!I$8</f>
        <v>0</v>
      </c>
      <c r="AL15" s="67">
        <f>+N15*tab!J$8</f>
        <v>0</v>
      </c>
      <c r="AM15" s="70"/>
      <c r="AN15" s="152">
        <v>0</v>
      </c>
      <c r="AO15" s="119">
        <f t="shared" ref="AO15:AT30" si="13">AN15</f>
        <v>0</v>
      </c>
      <c r="AP15" s="119">
        <f t="shared" si="13"/>
        <v>0</v>
      </c>
      <c r="AQ15" s="119">
        <f t="shared" si="13"/>
        <v>0</v>
      </c>
      <c r="AR15" s="119">
        <f t="shared" si="13"/>
        <v>0</v>
      </c>
      <c r="AS15" s="119">
        <f t="shared" si="13"/>
        <v>0</v>
      </c>
      <c r="AT15" s="119">
        <f t="shared" si="13"/>
        <v>0</v>
      </c>
      <c r="AU15" s="91"/>
      <c r="AV15" s="133"/>
    </row>
    <row r="16" spans="2:48" s="112" customFormat="1" x14ac:dyDescent="0.2">
      <c r="B16" s="953"/>
      <c r="C16" s="149"/>
      <c r="D16" s="49">
        <v>2</v>
      </c>
      <c r="E16" s="150" t="s">
        <v>622</v>
      </c>
      <c r="F16" s="971" t="s">
        <v>274</v>
      </c>
      <c r="G16" s="966"/>
      <c r="H16" s="954">
        <v>0</v>
      </c>
      <c r="I16" s="954">
        <f t="shared" ref="I16:N30" si="14">+H16</f>
        <v>0</v>
      </c>
      <c r="J16" s="954">
        <f t="shared" si="14"/>
        <v>0</v>
      </c>
      <c r="K16" s="954">
        <f t="shared" si="14"/>
        <v>0</v>
      </c>
      <c r="L16" s="954">
        <f t="shared" si="14"/>
        <v>0</v>
      </c>
      <c r="M16" s="954">
        <f t="shared" si="14"/>
        <v>0</v>
      </c>
      <c r="N16" s="954">
        <f t="shared" si="14"/>
        <v>0</v>
      </c>
      <c r="O16" s="70"/>
      <c r="P16" s="67">
        <f>H16*tab!E$7</f>
        <v>0</v>
      </c>
      <c r="Q16" s="67">
        <f>I16*tab!F$7</f>
        <v>0</v>
      </c>
      <c r="R16" s="67">
        <f>J16*tab!G$7</f>
        <v>0</v>
      </c>
      <c r="S16" s="67">
        <f>K16*tab!H$7</f>
        <v>0</v>
      </c>
      <c r="T16" s="67">
        <f>L16*tab!I$7</f>
        <v>0</v>
      </c>
      <c r="U16" s="67">
        <f>M16*tab!J$7</f>
        <v>0</v>
      </c>
      <c r="V16" s="67">
        <f>N16*tab!K$7</f>
        <v>0</v>
      </c>
      <c r="W16" s="70"/>
      <c r="X16" s="119">
        <v>0</v>
      </c>
      <c r="Y16" s="119">
        <f t="shared" ref="Y16:Y47" si="15">X16</f>
        <v>0</v>
      </c>
      <c r="Z16" s="119">
        <f t="shared" si="12"/>
        <v>0</v>
      </c>
      <c r="AA16" s="119">
        <f t="shared" si="12"/>
        <v>0</v>
      </c>
      <c r="AB16" s="119">
        <f t="shared" si="12"/>
        <v>0</v>
      </c>
      <c r="AC16" s="119">
        <f t="shared" si="12"/>
        <v>0</v>
      </c>
      <c r="AD16" s="119">
        <f t="shared" si="12"/>
        <v>0</v>
      </c>
      <c r="AE16" s="70"/>
      <c r="AF16" s="67">
        <f>+H16*tab!D$8</f>
        <v>0</v>
      </c>
      <c r="AG16" s="67">
        <f>+I16*tab!E$8</f>
        <v>0</v>
      </c>
      <c r="AH16" s="67">
        <f>+J16*tab!F$8</f>
        <v>0</v>
      </c>
      <c r="AI16" s="67">
        <f>+K16*tab!G$8</f>
        <v>0</v>
      </c>
      <c r="AJ16" s="67">
        <f>+L16*tab!H$8</f>
        <v>0</v>
      </c>
      <c r="AK16" s="67">
        <f>+M16*tab!I$8</f>
        <v>0</v>
      </c>
      <c r="AL16" s="67">
        <f>+N16*tab!J$8</f>
        <v>0</v>
      </c>
      <c r="AM16" s="70"/>
      <c r="AN16" s="152">
        <v>0</v>
      </c>
      <c r="AO16" s="119">
        <f t="shared" si="13"/>
        <v>0</v>
      </c>
      <c r="AP16" s="119">
        <f t="shared" si="13"/>
        <v>0</v>
      </c>
      <c r="AQ16" s="119">
        <f t="shared" si="13"/>
        <v>0</v>
      </c>
      <c r="AR16" s="119">
        <f t="shared" si="13"/>
        <v>0</v>
      </c>
      <c r="AS16" s="119">
        <f t="shared" si="13"/>
        <v>0</v>
      </c>
      <c r="AT16" s="119">
        <f t="shared" si="13"/>
        <v>0</v>
      </c>
      <c r="AU16" s="91"/>
      <c r="AV16" s="133"/>
    </row>
    <row r="17" spans="2:48" s="112" customFormat="1" x14ac:dyDescent="0.2">
      <c r="B17" s="953"/>
      <c r="C17" s="149"/>
      <c r="D17" s="49">
        <v>3</v>
      </c>
      <c r="E17" s="150" t="s">
        <v>623</v>
      </c>
      <c r="F17" s="971" t="s">
        <v>274</v>
      </c>
      <c r="G17" s="966"/>
      <c r="H17" s="954">
        <v>0</v>
      </c>
      <c r="I17" s="954">
        <f t="shared" si="14"/>
        <v>0</v>
      </c>
      <c r="J17" s="954">
        <f t="shared" si="14"/>
        <v>0</v>
      </c>
      <c r="K17" s="954">
        <f t="shared" si="14"/>
        <v>0</v>
      </c>
      <c r="L17" s="954">
        <f t="shared" si="14"/>
        <v>0</v>
      </c>
      <c r="M17" s="954">
        <f t="shared" si="14"/>
        <v>0</v>
      </c>
      <c r="N17" s="954">
        <f t="shared" si="14"/>
        <v>0</v>
      </c>
      <c r="O17" s="70"/>
      <c r="P17" s="67">
        <f>H17*tab!E$7</f>
        <v>0</v>
      </c>
      <c r="Q17" s="67">
        <f>I17*tab!F$7</f>
        <v>0</v>
      </c>
      <c r="R17" s="67">
        <f>J17*tab!G$7</f>
        <v>0</v>
      </c>
      <c r="S17" s="67">
        <f>K17*tab!H$7</f>
        <v>0</v>
      </c>
      <c r="T17" s="67">
        <f>L17*tab!I$7</f>
        <v>0</v>
      </c>
      <c r="U17" s="67">
        <f>M17*tab!J$7</f>
        <v>0</v>
      </c>
      <c r="V17" s="67">
        <f>N17*tab!K$7</f>
        <v>0</v>
      </c>
      <c r="W17" s="70"/>
      <c r="X17" s="119">
        <v>0</v>
      </c>
      <c r="Y17" s="119">
        <f t="shared" si="15"/>
        <v>0</v>
      </c>
      <c r="Z17" s="119">
        <f t="shared" si="12"/>
        <v>0</v>
      </c>
      <c r="AA17" s="119">
        <f t="shared" si="12"/>
        <v>0</v>
      </c>
      <c r="AB17" s="119">
        <f t="shared" si="12"/>
        <v>0</v>
      </c>
      <c r="AC17" s="119">
        <f t="shared" si="12"/>
        <v>0</v>
      </c>
      <c r="AD17" s="119">
        <f t="shared" si="12"/>
        <v>0</v>
      </c>
      <c r="AE17" s="70"/>
      <c r="AF17" s="67">
        <f>+H17*tab!D$8</f>
        <v>0</v>
      </c>
      <c r="AG17" s="67">
        <f>+I17*tab!E$8</f>
        <v>0</v>
      </c>
      <c r="AH17" s="67">
        <f>+J17*tab!F$8</f>
        <v>0</v>
      </c>
      <c r="AI17" s="67">
        <f>+K17*tab!G$8</f>
        <v>0</v>
      </c>
      <c r="AJ17" s="67">
        <f>+L17*tab!H$8</f>
        <v>0</v>
      </c>
      <c r="AK17" s="67">
        <f>+M17*tab!I$8</f>
        <v>0</v>
      </c>
      <c r="AL17" s="67">
        <f>+N17*tab!J$8</f>
        <v>0</v>
      </c>
      <c r="AM17" s="70"/>
      <c r="AN17" s="152">
        <v>0</v>
      </c>
      <c r="AO17" s="119">
        <f t="shared" si="13"/>
        <v>0</v>
      </c>
      <c r="AP17" s="119">
        <f t="shared" si="13"/>
        <v>0</v>
      </c>
      <c r="AQ17" s="119">
        <f t="shared" si="13"/>
        <v>0</v>
      </c>
      <c r="AR17" s="119">
        <f t="shared" si="13"/>
        <v>0</v>
      </c>
      <c r="AS17" s="119">
        <f t="shared" si="13"/>
        <v>0</v>
      </c>
      <c r="AT17" s="119">
        <f t="shared" si="13"/>
        <v>0</v>
      </c>
      <c r="AU17" s="91"/>
      <c r="AV17" s="133"/>
    </row>
    <row r="18" spans="2:48" s="112" customFormat="1" x14ac:dyDescent="0.2">
      <c r="B18" s="953"/>
      <c r="C18" s="149"/>
      <c r="D18" s="49">
        <v>4</v>
      </c>
      <c r="E18" s="150" t="s">
        <v>624</v>
      </c>
      <c r="F18" s="971" t="s">
        <v>274</v>
      </c>
      <c r="G18" s="966"/>
      <c r="H18" s="954">
        <v>0</v>
      </c>
      <c r="I18" s="954">
        <f t="shared" si="14"/>
        <v>0</v>
      </c>
      <c r="J18" s="954">
        <f t="shared" si="14"/>
        <v>0</v>
      </c>
      <c r="K18" s="954">
        <f t="shared" si="14"/>
        <v>0</v>
      </c>
      <c r="L18" s="954">
        <f t="shared" si="14"/>
        <v>0</v>
      </c>
      <c r="M18" s="954">
        <f t="shared" si="14"/>
        <v>0</v>
      </c>
      <c r="N18" s="954">
        <f t="shared" si="14"/>
        <v>0</v>
      </c>
      <c r="O18" s="70"/>
      <c r="P18" s="67">
        <f>H18*tab!E$7</f>
        <v>0</v>
      </c>
      <c r="Q18" s="67">
        <f>I18*tab!F$7</f>
        <v>0</v>
      </c>
      <c r="R18" s="67">
        <f>J18*tab!G$7</f>
        <v>0</v>
      </c>
      <c r="S18" s="67">
        <f>K18*tab!H$7</f>
        <v>0</v>
      </c>
      <c r="T18" s="67">
        <f>L18*tab!I$7</f>
        <v>0</v>
      </c>
      <c r="U18" s="67">
        <f>M18*tab!J$7</f>
        <v>0</v>
      </c>
      <c r="V18" s="67">
        <f>N18*tab!K$7</f>
        <v>0</v>
      </c>
      <c r="W18" s="70"/>
      <c r="X18" s="119">
        <v>0</v>
      </c>
      <c r="Y18" s="119">
        <f t="shared" si="15"/>
        <v>0</v>
      </c>
      <c r="Z18" s="119">
        <f t="shared" si="12"/>
        <v>0</v>
      </c>
      <c r="AA18" s="119">
        <f t="shared" si="12"/>
        <v>0</v>
      </c>
      <c r="AB18" s="119">
        <f t="shared" si="12"/>
        <v>0</v>
      </c>
      <c r="AC18" s="119">
        <f t="shared" si="12"/>
        <v>0</v>
      </c>
      <c r="AD18" s="119">
        <f t="shared" si="12"/>
        <v>0</v>
      </c>
      <c r="AE18" s="70"/>
      <c r="AF18" s="67">
        <f>+H18*tab!D$8</f>
        <v>0</v>
      </c>
      <c r="AG18" s="67">
        <f>+I18*tab!E$8</f>
        <v>0</v>
      </c>
      <c r="AH18" s="67">
        <f>+J18*tab!F$8</f>
        <v>0</v>
      </c>
      <c r="AI18" s="67">
        <f>+K18*tab!G$8</f>
        <v>0</v>
      </c>
      <c r="AJ18" s="67">
        <f>+L18*tab!H$8</f>
        <v>0</v>
      </c>
      <c r="AK18" s="67">
        <f>+M18*tab!I$8</f>
        <v>0</v>
      </c>
      <c r="AL18" s="67">
        <f>+N18*tab!J$8</f>
        <v>0</v>
      </c>
      <c r="AM18" s="70"/>
      <c r="AN18" s="152">
        <v>0</v>
      </c>
      <c r="AO18" s="119">
        <f t="shared" si="13"/>
        <v>0</v>
      </c>
      <c r="AP18" s="119">
        <f t="shared" si="13"/>
        <v>0</v>
      </c>
      <c r="AQ18" s="119">
        <f t="shared" si="13"/>
        <v>0</v>
      </c>
      <c r="AR18" s="119">
        <f t="shared" si="13"/>
        <v>0</v>
      </c>
      <c r="AS18" s="119">
        <f t="shared" si="13"/>
        <v>0</v>
      </c>
      <c r="AT18" s="119">
        <f t="shared" si="13"/>
        <v>0</v>
      </c>
      <c r="AU18" s="91"/>
      <c r="AV18" s="133"/>
    </row>
    <row r="19" spans="2:48" s="112" customFormat="1" x14ac:dyDescent="0.2">
      <c r="B19" s="953"/>
      <c r="C19" s="149"/>
      <c r="D19" s="49">
        <v>5</v>
      </c>
      <c r="E19" s="150" t="s">
        <v>625</v>
      </c>
      <c r="F19" s="971" t="s">
        <v>274</v>
      </c>
      <c r="G19" s="966"/>
      <c r="H19" s="954">
        <v>0</v>
      </c>
      <c r="I19" s="954">
        <f t="shared" si="14"/>
        <v>0</v>
      </c>
      <c r="J19" s="954">
        <f t="shared" si="14"/>
        <v>0</v>
      </c>
      <c r="K19" s="954">
        <f t="shared" si="14"/>
        <v>0</v>
      </c>
      <c r="L19" s="954">
        <f t="shared" si="14"/>
        <v>0</v>
      </c>
      <c r="M19" s="954">
        <f t="shared" si="14"/>
        <v>0</v>
      </c>
      <c r="N19" s="954">
        <f t="shared" si="14"/>
        <v>0</v>
      </c>
      <c r="O19" s="70"/>
      <c r="P19" s="67">
        <f>H19*tab!E$7</f>
        <v>0</v>
      </c>
      <c r="Q19" s="67">
        <f>I19*tab!F$7</f>
        <v>0</v>
      </c>
      <c r="R19" s="67">
        <f>J19*tab!G$7</f>
        <v>0</v>
      </c>
      <c r="S19" s="67">
        <f>K19*tab!H$7</f>
        <v>0</v>
      </c>
      <c r="T19" s="67">
        <f>L19*tab!I$7</f>
        <v>0</v>
      </c>
      <c r="U19" s="67">
        <f>M19*tab!J$7</f>
        <v>0</v>
      </c>
      <c r="V19" s="67">
        <f>N19*tab!K$7</f>
        <v>0</v>
      </c>
      <c r="W19" s="70"/>
      <c r="X19" s="119">
        <v>0</v>
      </c>
      <c r="Y19" s="119">
        <f t="shared" si="15"/>
        <v>0</v>
      </c>
      <c r="Z19" s="119">
        <f t="shared" si="12"/>
        <v>0</v>
      </c>
      <c r="AA19" s="119">
        <f t="shared" si="12"/>
        <v>0</v>
      </c>
      <c r="AB19" s="119">
        <f t="shared" si="12"/>
        <v>0</v>
      </c>
      <c r="AC19" s="119">
        <f t="shared" si="12"/>
        <v>0</v>
      </c>
      <c r="AD19" s="119">
        <f t="shared" si="12"/>
        <v>0</v>
      </c>
      <c r="AE19" s="70"/>
      <c r="AF19" s="67">
        <f>+H19*tab!D$8</f>
        <v>0</v>
      </c>
      <c r="AG19" s="67">
        <f>+I19*tab!E$8</f>
        <v>0</v>
      </c>
      <c r="AH19" s="67">
        <f>+J19*tab!F$8</f>
        <v>0</v>
      </c>
      <c r="AI19" s="67">
        <f>+K19*tab!G$8</f>
        <v>0</v>
      </c>
      <c r="AJ19" s="67">
        <f>+L19*tab!H$8</f>
        <v>0</v>
      </c>
      <c r="AK19" s="67">
        <f>+M19*tab!I$8</f>
        <v>0</v>
      </c>
      <c r="AL19" s="67">
        <f>+N19*tab!J$8</f>
        <v>0</v>
      </c>
      <c r="AM19" s="70"/>
      <c r="AN19" s="152">
        <v>0</v>
      </c>
      <c r="AO19" s="119">
        <f t="shared" si="13"/>
        <v>0</v>
      </c>
      <c r="AP19" s="119">
        <f t="shared" si="13"/>
        <v>0</v>
      </c>
      <c r="AQ19" s="119">
        <f t="shared" si="13"/>
        <v>0</v>
      </c>
      <c r="AR19" s="119">
        <f t="shared" si="13"/>
        <v>0</v>
      </c>
      <c r="AS19" s="119">
        <f t="shared" si="13"/>
        <v>0</v>
      </c>
      <c r="AT19" s="119">
        <f t="shared" si="13"/>
        <v>0</v>
      </c>
      <c r="AU19" s="91"/>
      <c r="AV19" s="133"/>
    </row>
    <row r="20" spans="2:48" s="112" customFormat="1" x14ac:dyDescent="0.2">
      <c r="B20" s="953"/>
      <c r="C20" s="149"/>
      <c r="D20" s="49">
        <v>6</v>
      </c>
      <c r="E20" s="150" t="s">
        <v>626</v>
      </c>
      <c r="F20" s="971" t="s">
        <v>274</v>
      </c>
      <c r="G20" s="966"/>
      <c r="H20" s="954">
        <v>0</v>
      </c>
      <c r="I20" s="954">
        <f t="shared" si="14"/>
        <v>0</v>
      </c>
      <c r="J20" s="954">
        <f t="shared" si="14"/>
        <v>0</v>
      </c>
      <c r="K20" s="954">
        <f t="shared" si="14"/>
        <v>0</v>
      </c>
      <c r="L20" s="954">
        <f t="shared" si="14"/>
        <v>0</v>
      </c>
      <c r="M20" s="954">
        <f t="shared" si="14"/>
        <v>0</v>
      </c>
      <c r="N20" s="954">
        <f t="shared" si="14"/>
        <v>0</v>
      </c>
      <c r="O20" s="70"/>
      <c r="P20" s="67">
        <f>H20*tab!E$7</f>
        <v>0</v>
      </c>
      <c r="Q20" s="67">
        <f>I20*tab!F$7</f>
        <v>0</v>
      </c>
      <c r="R20" s="67">
        <f>J20*tab!G$7</f>
        <v>0</v>
      </c>
      <c r="S20" s="67">
        <f>K20*tab!H$7</f>
        <v>0</v>
      </c>
      <c r="T20" s="67">
        <f>L20*tab!I$7</f>
        <v>0</v>
      </c>
      <c r="U20" s="67">
        <f>M20*tab!J$7</f>
        <v>0</v>
      </c>
      <c r="V20" s="67">
        <f>N20*tab!K$7</f>
        <v>0</v>
      </c>
      <c r="W20" s="70"/>
      <c r="X20" s="119">
        <v>0</v>
      </c>
      <c r="Y20" s="119">
        <f t="shared" si="15"/>
        <v>0</v>
      </c>
      <c r="Z20" s="119">
        <f t="shared" si="12"/>
        <v>0</v>
      </c>
      <c r="AA20" s="119">
        <f t="shared" si="12"/>
        <v>0</v>
      </c>
      <c r="AB20" s="119">
        <f t="shared" si="12"/>
        <v>0</v>
      </c>
      <c r="AC20" s="119">
        <f t="shared" si="12"/>
        <v>0</v>
      </c>
      <c r="AD20" s="119">
        <f t="shared" si="12"/>
        <v>0</v>
      </c>
      <c r="AE20" s="70"/>
      <c r="AF20" s="67">
        <f>+H20*tab!D$8</f>
        <v>0</v>
      </c>
      <c r="AG20" s="67">
        <f>+I20*tab!E$8</f>
        <v>0</v>
      </c>
      <c r="AH20" s="67">
        <f>+J20*tab!F$8</f>
        <v>0</v>
      </c>
      <c r="AI20" s="67">
        <f>+K20*tab!G$8</f>
        <v>0</v>
      </c>
      <c r="AJ20" s="67">
        <f>+L20*tab!H$8</f>
        <v>0</v>
      </c>
      <c r="AK20" s="67">
        <f>+M20*tab!I$8</f>
        <v>0</v>
      </c>
      <c r="AL20" s="67">
        <f>+N20*tab!J$8</f>
        <v>0</v>
      </c>
      <c r="AM20" s="70"/>
      <c r="AN20" s="152">
        <v>0</v>
      </c>
      <c r="AO20" s="119">
        <f t="shared" si="13"/>
        <v>0</v>
      </c>
      <c r="AP20" s="119">
        <f t="shared" si="13"/>
        <v>0</v>
      </c>
      <c r="AQ20" s="119">
        <f t="shared" si="13"/>
        <v>0</v>
      </c>
      <c r="AR20" s="119">
        <f t="shared" si="13"/>
        <v>0</v>
      </c>
      <c r="AS20" s="119">
        <f t="shared" si="13"/>
        <v>0</v>
      </c>
      <c r="AT20" s="119">
        <f t="shared" si="13"/>
        <v>0</v>
      </c>
      <c r="AU20" s="91"/>
      <c r="AV20" s="133"/>
    </row>
    <row r="21" spans="2:48" s="112" customFormat="1" x14ac:dyDescent="0.2">
      <c r="B21" s="953"/>
      <c r="C21" s="149"/>
      <c r="D21" s="49">
        <v>7</v>
      </c>
      <c r="E21" s="150" t="s">
        <v>627</v>
      </c>
      <c r="F21" s="971" t="s">
        <v>274</v>
      </c>
      <c r="G21" s="966"/>
      <c r="H21" s="954">
        <v>0</v>
      </c>
      <c r="I21" s="954">
        <f t="shared" si="14"/>
        <v>0</v>
      </c>
      <c r="J21" s="954">
        <f t="shared" si="14"/>
        <v>0</v>
      </c>
      <c r="K21" s="954">
        <f t="shared" si="14"/>
        <v>0</v>
      </c>
      <c r="L21" s="954">
        <f t="shared" si="14"/>
        <v>0</v>
      </c>
      <c r="M21" s="954">
        <f t="shared" si="14"/>
        <v>0</v>
      </c>
      <c r="N21" s="954">
        <f t="shared" si="14"/>
        <v>0</v>
      </c>
      <c r="O21" s="70"/>
      <c r="P21" s="67">
        <f>H21*tab!E$7</f>
        <v>0</v>
      </c>
      <c r="Q21" s="67">
        <f>I21*tab!F$7</f>
        <v>0</v>
      </c>
      <c r="R21" s="67">
        <f>J21*tab!G$7</f>
        <v>0</v>
      </c>
      <c r="S21" s="67">
        <f>K21*tab!H$7</f>
        <v>0</v>
      </c>
      <c r="T21" s="67">
        <f>L21*tab!I$7</f>
        <v>0</v>
      </c>
      <c r="U21" s="67">
        <f>M21*tab!J$7</f>
        <v>0</v>
      </c>
      <c r="V21" s="67">
        <f>N21*tab!K$7</f>
        <v>0</v>
      </c>
      <c r="W21" s="70"/>
      <c r="X21" s="119">
        <v>0</v>
      </c>
      <c r="Y21" s="119">
        <f t="shared" si="15"/>
        <v>0</v>
      </c>
      <c r="Z21" s="119">
        <f t="shared" si="12"/>
        <v>0</v>
      </c>
      <c r="AA21" s="119">
        <f t="shared" si="12"/>
        <v>0</v>
      </c>
      <c r="AB21" s="119">
        <f t="shared" si="12"/>
        <v>0</v>
      </c>
      <c r="AC21" s="119">
        <f t="shared" si="12"/>
        <v>0</v>
      </c>
      <c r="AD21" s="119">
        <f t="shared" si="12"/>
        <v>0</v>
      </c>
      <c r="AE21" s="70"/>
      <c r="AF21" s="67">
        <f>+H21*tab!D$8</f>
        <v>0</v>
      </c>
      <c r="AG21" s="67">
        <f>+I21*tab!E$8</f>
        <v>0</v>
      </c>
      <c r="AH21" s="67">
        <f>+J21*tab!F$8</f>
        <v>0</v>
      </c>
      <c r="AI21" s="67">
        <f>+K21*tab!G$8</f>
        <v>0</v>
      </c>
      <c r="AJ21" s="67">
        <f>+L21*tab!H$8</f>
        <v>0</v>
      </c>
      <c r="AK21" s="67">
        <f>+M21*tab!I$8</f>
        <v>0</v>
      </c>
      <c r="AL21" s="67">
        <f>+N21*tab!J$8</f>
        <v>0</v>
      </c>
      <c r="AM21" s="70"/>
      <c r="AN21" s="152">
        <v>0</v>
      </c>
      <c r="AO21" s="119">
        <f t="shared" si="13"/>
        <v>0</v>
      </c>
      <c r="AP21" s="119">
        <f t="shared" si="13"/>
        <v>0</v>
      </c>
      <c r="AQ21" s="119">
        <f t="shared" si="13"/>
        <v>0</v>
      </c>
      <c r="AR21" s="119">
        <f t="shared" si="13"/>
        <v>0</v>
      </c>
      <c r="AS21" s="119">
        <f t="shared" si="13"/>
        <v>0</v>
      </c>
      <c r="AT21" s="119">
        <f t="shared" si="13"/>
        <v>0</v>
      </c>
      <c r="AU21" s="91"/>
      <c r="AV21" s="133"/>
    </row>
    <row r="22" spans="2:48" s="112" customFormat="1" x14ac:dyDescent="0.2">
      <c r="B22" s="953"/>
      <c r="C22" s="149"/>
      <c r="D22" s="49">
        <v>8</v>
      </c>
      <c r="E22" s="150" t="s">
        <v>628</v>
      </c>
      <c r="F22" s="971" t="s">
        <v>274</v>
      </c>
      <c r="G22" s="966"/>
      <c r="H22" s="954">
        <v>0</v>
      </c>
      <c r="I22" s="954">
        <f t="shared" si="14"/>
        <v>0</v>
      </c>
      <c r="J22" s="954">
        <f t="shared" si="14"/>
        <v>0</v>
      </c>
      <c r="K22" s="954">
        <f t="shared" si="14"/>
        <v>0</v>
      </c>
      <c r="L22" s="954">
        <f t="shared" si="14"/>
        <v>0</v>
      </c>
      <c r="M22" s="954">
        <f t="shared" si="14"/>
        <v>0</v>
      </c>
      <c r="N22" s="954">
        <f t="shared" si="14"/>
        <v>0</v>
      </c>
      <c r="O22" s="70"/>
      <c r="P22" s="67">
        <f>H22*tab!E$7</f>
        <v>0</v>
      </c>
      <c r="Q22" s="67">
        <f>I22*tab!F$7</f>
        <v>0</v>
      </c>
      <c r="R22" s="67">
        <f>J22*tab!G$7</f>
        <v>0</v>
      </c>
      <c r="S22" s="67">
        <f>K22*tab!H$7</f>
        <v>0</v>
      </c>
      <c r="T22" s="67">
        <f>L22*tab!I$7</f>
        <v>0</v>
      </c>
      <c r="U22" s="67">
        <f>M22*tab!J$7</f>
        <v>0</v>
      </c>
      <c r="V22" s="67">
        <f>N22*tab!K$7</f>
        <v>0</v>
      </c>
      <c r="W22" s="70"/>
      <c r="X22" s="119">
        <v>0</v>
      </c>
      <c r="Y22" s="119">
        <f t="shared" si="15"/>
        <v>0</v>
      </c>
      <c r="Z22" s="119">
        <f t="shared" si="12"/>
        <v>0</v>
      </c>
      <c r="AA22" s="119">
        <f t="shared" si="12"/>
        <v>0</v>
      </c>
      <c r="AB22" s="119">
        <f t="shared" si="12"/>
        <v>0</v>
      </c>
      <c r="AC22" s="119">
        <f t="shared" si="12"/>
        <v>0</v>
      </c>
      <c r="AD22" s="119">
        <f t="shared" si="12"/>
        <v>0</v>
      </c>
      <c r="AE22" s="70"/>
      <c r="AF22" s="67">
        <f>+H22*tab!D$8</f>
        <v>0</v>
      </c>
      <c r="AG22" s="67">
        <f>+I22*tab!E$8</f>
        <v>0</v>
      </c>
      <c r="AH22" s="67">
        <f>+J22*tab!F$8</f>
        <v>0</v>
      </c>
      <c r="AI22" s="67">
        <f>+K22*tab!G$8</f>
        <v>0</v>
      </c>
      <c r="AJ22" s="67">
        <f>+L22*tab!H$8</f>
        <v>0</v>
      </c>
      <c r="AK22" s="67">
        <f>+M22*tab!I$8</f>
        <v>0</v>
      </c>
      <c r="AL22" s="67">
        <f>+N22*tab!J$8</f>
        <v>0</v>
      </c>
      <c r="AM22" s="70"/>
      <c r="AN22" s="152">
        <v>0</v>
      </c>
      <c r="AO22" s="119">
        <f t="shared" si="13"/>
        <v>0</v>
      </c>
      <c r="AP22" s="119">
        <f t="shared" si="13"/>
        <v>0</v>
      </c>
      <c r="AQ22" s="119">
        <f t="shared" si="13"/>
        <v>0</v>
      </c>
      <c r="AR22" s="119">
        <f t="shared" si="13"/>
        <v>0</v>
      </c>
      <c r="AS22" s="119">
        <f t="shared" si="13"/>
        <v>0</v>
      </c>
      <c r="AT22" s="119">
        <f t="shared" si="13"/>
        <v>0</v>
      </c>
      <c r="AU22" s="91"/>
      <c r="AV22" s="133"/>
    </row>
    <row r="23" spans="2:48" s="112" customFormat="1" x14ac:dyDescent="0.2">
      <c r="B23" s="953"/>
      <c r="C23" s="149"/>
      <c r="D23" s="49">
        <v>9</v>
      </c>
      <c r="E23" s="150" t="s">
        <v>629</v>
      </c>
      <c r="F23" s="971" t="s">
        <v>274</v>
      </c>
      <c r="G23" s="966"/>
      <c r="H23" s="954">
        <v>0</v>
      </c>
      <c r="I23" s="954">
        <f t="shared" si="14"/>
        <v>0</v>
      </c>
      <c r="J23" s="954">
        <f t="shared" si="14"/>
        <v>0</v>
      </c>
      <c r="K23" s="954">
        <f t="shared" si="14"/>
        <v>0</v>
      </c>
      <c r="L23" s="954">
        <f t="shared" si="14"/>
        <v>0</v>
      </c>
      <c r="M23" s="954">
        <f t="shared" si="14"/>
        <v>0</v>
      </c>
      <c r="N23" s="954">
        <f t="shared" si="14"/>
        <v>0</v>
      </c>
      <c r="O23" s="70"/>
      <c r="P23" s="67">
        <f>H23*tab!E$7</f>
        <v>0</v>
      </c>
      <c r="Q23" s="67">
        <f>I23*tab!F$7</f>
        <v>0</v>
      </c>
      <c r="R23" s="67">
        <f>J23*tab!G$7</f>
        <v>0</v>
      </c>
      <c r="S23" s="67">
        <f>K23*tab!H$7</f>
        <v>0</v>
      </c>
      <c r="T23" s="67">
        <f>L23*tab!I$7</f>
        <v>0</v>
      </c>
      <c r="U23" s="67">
        <f>M23*tab!J$7</f>
        <v>0</v>
      </c>
      <c r="V23" s="67">
        <f>N23*tab!K$7</f>
        <v>0</v>
      </c>
      <c r="W23" s="70"/>
      <c r="X23" s="119">
        <v>0</v>
      </c>
      <c r="Y23" s="119">
        <f t="shared" si="15"/>
        <v>0</v>
      </c>
      <c r="Z23" s="119">
        <f t="shared" si="12"/>
        <v>0</v>
      </c>
      <c r="AA23" s="119">
        <f t="shared" si="12"/>
        <v>0</v>
      </c>
      <c r="AB23" s="119">
        <f t="shared" si="12"/>
        <v>0</v>
      </c>
      <c r="AC23" s="119">
        <f t="shared" si="12"/>
        <v>0</v>
      </c>
      <c r="AD23" s="119">
        <f t="shared" si="12"/>
        <v>0</v>
      </c>
      <c r="AE23" s="70"/>
      <c r="AF23" s="67">
        <f>+H23*tab!D$8</f>
        <v>0</v>
      </c>
      <c r="AG23" s="67">
        <f>+I23*tab!E$8</f>
        <v>0</v>
      </c>
      <c r="AH23" s="67">
        <f>+J23*tab!F$8</f>
        <v>0</v>
      </c>
      <c r="AI23" s="67">
        <f>+K23*tab!G$8</f>
        <v>0</v>
      </c>
      <c r="AJ23" s="67">
        <f>+L23*tab!H$8</f>
        <v>0</v>
      </c>
      <c r="AK23" s="67">
        <f>+M23*tab!I$8</f>
        <v>0</v>
      </c>
      <c r="AL23" s="67">
        <f>+N23*tab!J$8</f>
        <v>0</v>
      </c>
      <c r="AM23" s="70"/>
      <c r="AN23" s="152">
        <v>0</v>
      </c>
      <c r="AO23" s="119">
        <f t="shared" si="13"/>
        <v>0</v>
      </c>
      <c r="AP23" s="119">
        <f t="shared" si="13"/>
        <v>0</v>
      </c>
      <c r="AQ23" s="119">
        <f t="shared" si="13"/>
        <v>0</v>
      </c>
      <c r="AR23" s="119">
        <f t="shared" si="13"/>
        <v>0</v>
      </c>
      <c r="AS23" s="119">
        <f t="shared" si="13"/>
        <v>0</v>
      </c>
      <c r="AT23" s="119">
        <f t="shared" si="13"/>
        <v>0</v>
      </c>
      <c r="AU23" s="91"/>
      <c r="AV23" s="133"/>
    </row>
    <row r="24" spans="2:48" s="112" customFormat="1" x14ac:dyDescent="0.2">
      <c r="B24" s="953"/>
      <c r="C24" s="149"/>
      <c r="D24" s="49">
        <v>10</v>
      </c>
      <c r="E24" s="150" t="s">
        <v>630</v>
      </c>
      <c r="F24" s="971" t="s">
        <v>274</v>
      </c>
      <c r="G24" s="966"/>
      <c r="H24" s="954">
        <v>0</v>
      </c>
      <c r="I24" s="954">
        <f t="shared" si="14"/>
        <v>0</v>
      </c>
      <c r="J24" s="954">
        <f t="shared" si="14"/>
        <v>0</v>
      </c>
      <c r="K24" s="954">
        <f t="shared" si="14"/>
        <v>0</v>
      </c>
      <c r="L24" s="954">
        <f t="shared" si="14"/>
        <v>0</v>
      </c>
      <c r="M24" s="954">
        <f t="shared" si="14"/>
        <v>0</v>
      </c>
      <c r="N24" s="954">
        <f t="shared" si="14"/>
        <v>0</v>
      </c>
      <c r="O24" s="70"/>
      <c r="P24" s="67">
        <f>H24*tab!E$7</f>
        <v>0</v>
      </c>
      <c r="Q24" s="67">
        <f>I24*tab!F$7</f>
        <v>0</v>
      </c>
      <c r="R24" s="67">
        <f>J24*tab!G$7</f>
        <v>0</v>
      </c>
      <c r="S24" s="67">
        <f>K24*tab!H$7</f>
        <v>0</v>
      </c>
      <c r="T24" s="67">
        <f>L24*tab!I$7</f>
        <v>0</v>
      </c>
      <c r="U24" s="67">
        <f>M24*tab!J$7</f>
        <v>0</v>
      </c>
      <c r="V24" s="67">
        <f>N24*tab!K$7</f>
        <v>0</v>
      </c>
      <c r="W24" s="70"/>
      <c r="X24" s="119">
        <v>0</v>
      </c>
      <c r="Y24" s="119">
        <f t="shared" si="15"/>
        <v>0</v>
      </c>
      <c r="Z24" s="119">
        <f t="shared" si="12"/>
        <v>0</v>
      </c>
      <c r="AA24" s="119">
        <f t="shared" si="12"/>
        <v>0</v>
      </c>
      <c r="AB24" s="119">
        <f t="shared" si="12"/>
        <v>0</v>
      </c>
      <c r="AC24" s="119">
        <f t="shared" si="12"/>
        <v>0</v>
      </c>
      <c r="AD24" s="119">
        <f t="shared" si="12"/>
        <v>0</v>
      </c>
      <c r="AE24" s="70"/>
      <c r="AF24" s="67">
        <f>+H24*tab!D$8</f>
        <v>0</v>
      </c>
      <c r="AG24" s="67">
        <f>+I24*tab!E$8</f>
        <v>0</v>
      </c>
      <c r="AH24" s="67">
        <f>+J24*tab!F$8</f>
        <v>0</v>
      </c>
      <c r="AI24" s="67">
        <f>+K24*tab!G$8</f>
        <v>0</v>
      </c>
      <c r="AJ24" s="67">
        <f>+L24*tab!H$8</f>
        <v>0</v>
      </c>
      <c r="AK24" s="67">
        <f>+M24*tab!I$8</f>
        <v>0</v>
      </c>
      <c r="AL24" s="67">
        <f>+N24*tab!J$8</f>
        <v>0</v>
      </c>
      <c r="AM24" s="70"/>
      <c r="AN24" s="152">
        <v>0</v>
      </c>
      <c r="AO24" s="119">
        <f t="shared" si="13"/>
        <v>0</v>
      </c>
      <c r="AP24" s="119">
        <f t="shared" si="13"/>
        <v>0</v>
      </c>
      <c r="AQ24" s="119">
        <f t="shared" si="13"/>
        <v>0</v>
      </c>
      <c r="AR24" s="119">
        <f t="shared" si="13"/>
        <v>0</v>
      </c>
      <c r="AS24" s="119">
        <f t="shared" si="13"/>
        <v>0</v>
      </c>
      <c r="AT24" s="119">
        <f t="shared" si="13"/>
        <v>0</v>
      </c>
      <c r="AU24" s="91"/>
      <c r="AV24" s="133"/>
    </row>
    <row r="25" spans="2:48" s="112" customFormat="1" x14ac:dyDescent="0.2">
      <c r="B25" s="953"/>
      <c r="C25" s="149"/>
      <c r="D25" s="49">
        <v>11</v>
      </c>
      <c r="E25" s="150" t="s">
        <v>631</v>
      </c>
      <c r="F25" s="971" t="s">
        <v>274</v>
      </c>
      <c r="G25" s="966"/>
      <c r="H25" s="954">
        <v>0</v>
      </c>
      <c r="I25" s="954">
        <f t="shared" si="14"/>
        <v>0</v>
      </c>
      <c r="J25" s="954">
        <f t="shared" si="14"/>
        <v>0</v>
      </c>
      <c r="K25" s="954">
        <f t="shared" si="14"/>
        <v>0</v>
      </c>
      <c r="L25" s="954">
        <f t="shared" si="14"/>
        <v>0</v>
      </c>
      <c r="M25" s="954">
        <f t="shared" si="14"/>
        <v>0</v>
      </c>
      <c r="N25" s="954">
        <f t="shared" si="14"/>
        <v>0</v>
      </c>
      <c r="O25" s="70"/>
      <c r="P25" s="67">
        <f>H25*tab!E$7</f>
        <v>0</v>
      </c>
      <c r="Q25" s="67">
        <f>I25*tab!F$7</f>
        <v>0</v>
      </c>
      <c r="R25" s="67">
        <f>J25*tab!G$7</f>
        <v>0</v>
      </c>
      <c r="S25" s="67">
        <f>K25*tab!H$7</f>
        <v>0</v>
      </c>
      <c r="T25" s="67">
        <f>L25*tab!I$7</f>
        <v>0</v>
      </c>
      <c r="U25" s="67">
        <f>M25*tab!J$7</f>
        <v>0</v>
      </c>
      <c r="V25" s="67">
        <f>N25*tab!K$7</f>
        <v>0</v>
      </c>
      <c r="W25" s="70"/>
      <c r="X25" s="119">
        <v>0</v>
      </c>
      <c r="Y25" s="119">
        <f t="shared" si="15"/>
        <v>0</v>
      </c>
      <c r="Z25" s="119">
        <f t="shared" si="12"/>
        <v>0</v>
      </c>
      <c r="AA25" s="119">
        <f t="shared" si="12"/>
        <v>0</v>
      </c>
      <c r="AB25" s="119">
        <f t="shared" si="12"/>
        <v>0</v>
      </c>
      <c r="AC25" s="119">
        <f t="shared" si="12"/>
        <v>0</v>
      </c>
      <c r="AD25" s="119">
        <f t="shared" si="12"/>
        <v>0</v>
      </c>
      <c r="AE25" s="70"/>
      <c r="AF25" s="67">
        <f>+H25*tab!D$8</f>
        <v>0</v>
      </c>
      <c r="AG25" s="67">
        <f>+I25*tab!E$8</f>
        <v>0</v>
      </c>
      <c r="AH25" s="67">
        <f>+J25*tab!F$8</f>
        <v>0</v>
      </c>
      <c r="AI25" s="67">
        <f>+K25*tab!G$8</f>
        <v>0</v>
      </c>
      <c r="AJ25" s="67">
        <f>+L25*tab!H$8</f>
        <v>0</v>
      </c>
      <c r="AK25" s="67">
        <f>+M25*tab!I$8</f>
        <v>0</v>
      </c>
      <c r="AL25" s="67">
        <f>+N25*tab!J$8</f>
        <v>0</v>
      </c>
      <c r="AM25" s="70"/>
      <c r="AN25" s="152">
        <v>0</v>
      </c>
      <c r="AO25" s="119">
        <f t="shared" si="13"/>
        <v>0</v>
      </c>
      <c r="AP25" s="119">
        <f t="shared" si="13"/>
        <v>0</v>
      </c>
      <c r="AQ25" s="119">
        <f t="shared" si="13"/>
        <v>0</v>
      </c>
      <c r="AR25" s="119">
        <f t="shared" si="13"/>
        <v>0</v>
      </c>
      <c r="AS25" s="119">
        <f t="shared" si="13"/>
        <v>0</v>
      </c>
      <c r="AT25" s="119">
        <f t="shared" si="13"/>
        <v>0</v>
      </c>
      <c r="AU25" s="91"/>
      <c r="AV25" s="133"/>
    </row>
    <row r="26" spans="2:48" s="112" customFormat="1" x14ac:dyDescent="0.2">
      <c r="B26" s="953"/>
      <c r="C26" s="149"/>
      <c r="D26" s="49">
        <v>12</v>
      </c>
      <c r="E26" s="150" t="s">
        <v>632</v>
      </c>
      <c r="F26" s="971" t="s">
        <v>274</v>
      </c>
      <c r="G26" s="966"/>
      <c r="H26" s="954">
        <v>0</v>
      </c>
      <c r="I26" s="954">
        <f t="shared" si="14"/>
        <v>0</v>
      </c>
      <c r="J26" s="954">
        <f t="shared" si="14"/>
        <v>0</v>
      </c>
      <c r="K26" s="954">
        <f t="shared" si="14"/>
        <v>0</v>
      </c>
      <c r="L26" s="954">
        <f t="shared" si="14"/>
        <v>0</v>
      </c>
      <c r="M26" s="954">
        <f t="shared" si="14"/>
        <v>0</v>
      </c>
      <c r="N26" s="954">
        <f t="shared" si="14"/>
        <v>0</v>
      </c>
      <c r="O26" s="70"/>
      <c r="P26" s="67">
        <f>H26*tab!E$7</f>
        <v>0</v>
      </c>
      <c r="Q26" s="67">
        <f>I26*tab!F$7</f>
        <v>0</v>
      </c>
      <c r="R26" s="67">
        <f>J26*tab!G$7</f>
        <v>0</v>
      </c>
      <c r="S26" s="67">
        <f>K26*tab!H$7</f>
        <v>0</v>
      </c>
      <c r="T26" s="67">
        <f>L26*tab!I$7</f>
        <v>0</v>
      </c>
      <c r="U26" s="67">
        <f>M26*tab!J$7</f>
        <v>0</v>
      </c>
      <c r="V26" s="67">
        <f>N26*tab!K$7</f>
        <v>0</v>
      </c>
      <c r="W26" s="70"/>
      <c r="X26" s="119">
        <v>0</v>
      </c>
      <c r="Y26" s="119">
        <f t="shared" si="15"/>
        <v>0</v>
      </c>
      <c r="Z26" s="119">
        <f t="shared" si="12"/>
        <v>0</v>
      </c>
      <c r="AA26" s="119">
        <f t="shared" si="12"/>
        <v>0</v>
      </c>
      <c r="AB26" s="119">
        <f t="shared" si="12"/>
        <v>0</v>
      </c>
      <c r="AC26" s="119">
        <f t="shared" si="12"/>
        <v>0</v>
      </c>
      <c r="AD26" s="119">
        <f t="shared" si="12"/>
        <v>0</v>
      </c>
      <c r="AE26" s="70"/>
      <c r="AF26" s="67">
        <f>+H26*tab!D$8</f>
        <v>0</v>
      </c>
      <c r="AG26" s="67">
        <f>+I26*tab!E$8</f>
        <v>0</v>
      </c>
      <c r="AH26" s="67">
        <f>+J26*tab!F$8</f>
        <v>0</v>
      </c>
      <c r="AI26" s="67">
        <f>+K26*tab!G$8</f>
        <v>0</v>
      </c>
      <c r="AJ26" s="67">
        <f>+L26*tab!H$8</f>
        <v>0</v>
      </c>
      <c r="AK26" s="67">
        <f>+M26*tab!I$8</f>
        <v>0</v>
      </c>
      <c r="AL26" s="67">
        <f>+N26*tab!J$8</f>
        <v>0</v>
      </c>
      <c r="AM26" s="70"/>
      <c r="AN26" s="152">
        <v>0</v>
      </c>
      <c r="AO26" s="119">
        <f t="shared" si="13"/>
        <v>0</v>
      </c>
      <c r="AP26" s="119">
        <f t="shared" si="13"/>
        <v>0</v>
      </c>
      <c r="AQ26" s="119">
        <f t="shared" si="13"/>
        <v>0</v>
      </c>
      <c r="AR26" s="119">
        <f t="shared" si="13"/>
        <v>0</v>
      </c>
      <c r="AS26" s="119">
        <f t="shared" si="13"/>
        <v>0</v>
      </c>
      <c r="AT26" s="119">
        <f t="shared" si="13"/>
        <v>0</v>
      </c>
      <c r="AU26" s="91"/>
      <c r="AV26" s="133"/>
    </row>
    <row r="27" spans="2:48" s="112" customFormat="1" x14ac:dyDescent="0.2">
      <c r="B27" s="953"/>
      <c r="C27" s="149"/>
      <c r="D27" s="49">
        <v>13</v>
      </c>
      <c r="E27" s="150" t="s">
        <v>633</v>
      </c>
      <c r="F27" s="971" t="s">
        <v>274</v>
      </c>
      <c r="G27" s="966"/>
      <c r="H27" s="954">
        <v>0</v>
      </c>
      <c r="I27" s="954">
        <f t="shared" si="14"/>
        <v>0</v>
      </c>
      <c r="J27" s="954">
        <f t="shared" si="14"/>
        <v>0</v>
      </c>
      <c r="K27" s="954">
        <f t="shared" si="14"/>
        <v>0</v>
      </c>
      <c r="L27" s="954">
        <f t="shared" si="14"/>
        <v>0</v>
      </c>
      <c r="M27" s="954">
        <f t="shared" si="14"/>
        <v>0</v>
      </c>
      <c r="N27" s="954">
        <f t="shared" si="14"/>
        <v>0</v>
      </c>
      <c r="O27" s="70"/>
      <c r="P27" s="67">
        <f>H27*tab!E$7</f>
        <v>0</v>
      </c>
      <c r="Q27" s="67">
        <f>I27*tab!F$7</f>
        <v>0</v>
      </c>
      <c r="R27" s="67">
        <f>J27*tab!G$7</f>
        <v>0</v>
      </c>
      <c r="S27" s="67">
        <f>K27*tab!H$7</f>
        <v>0</v>
      </c>
      <c r="T27" s="67">
        <f>L27*tab!I$7</f>
        <v>0</v>
      </c>
      <c r="U27" s="67">
        <f>M27*tab!J$7</f>
        <v>0</v>
      </c>
      <c r="V27" s="67">
        <f>N27*tab!K$7</f>
        <v>0</v>
      </c>
      <c r="W27" s="70"/>
      <c r="X27" s="119">
        <v>0</v>
      </c>
      <c r="Y27" s="119">
        <f t="shared" si="15"/>
        <v>0</v>
      </c>
      <c r="Z27" s="119">
        <f t="shared" si="12"/>
        <v>0</v>
      </c>
      <c r="AA27" s="119">
        <f t="shared" si="12"/>
        <v>0</v>
      </c>
      <c r="AB27" s="119">
        <f t="shared" si="12"/>
        <v>0</v>
      </c>
      <c r="AC27" s="119">
        <f t="shared" si="12"/>
        <v>0</v>
      </c>
      <c r="AD27" s="119">
        <f t="shared" si="12"/>
        <v>0</v>
      </c>
      <c r="AE27" s="70"/>
      <c r="AF27" s="67">
        <f>+H27*tab!D$8</f>
        <v>0</v>
      </c>
      <c r="AG27" s="67">
        <f>+I27*tab!E$8</f>
        <v>0</v>
      </c>
      <c r="AH27" s="67">
        <f>+J27*tab!F$8</f>
        <v>0</v>
      </c>
      <c r="AI27" s="67">
        <f>+K27*tab!G$8</f>
        <v>0</v>
      </c>
      <c r="AJ27" s="67">
        <f>+L27*tab!H$8</f>
        <v>0</v>
      </c>
      <c r="AK27" s="67">
        <f>+M27*tab!I$8</f>
        <v>0</v>
      </c>
      <c r="AL27" s="67">
        <f>+N27*tab!J$8</f>
        <v>0</v>
      </c>
      <c r="AM27" s="70"/>
      <c r="AN27" s="152">
        <v>0</v>
      </c>
      <c r="AO27" s="119">
        <f t="shared" si="13"/>
        <v>0</v>
      </c>
      <c r="AP27" s="119">
        <f t="shared" si="13"/>
        <v>0</v>
      </c>
      <c r="AQ27" s="119">
        <f t="shared" si="13"/>
        <v>0</v>
      </c>
      <c r="AR27" s="119">
        <f t="shared" si="13"/>
        <v>0</v>
      </c>
      <c r="AS27" s="119">
        <f t="shared" si="13"/>
        <v>0</v>
      </c>
      <c r="AT27" s="119">
        <f t="shared" si="13"/>
        <v>0</v>
      </c>
      <c r="AU27" s="91"/>
      <c r="AV27" s="133"/>
    </row>
    <row r="28" spans="2:48" s="112" customFormat="1" x14ac:dyDescent="0.2">
      <c r="B28" s="953"/>
      <c r="C28" s="149"/>
      <c r="D28" s="49">
        <v>14</v>
      </c>
      <c r="E28" s="150" t="s">
        <v>634</v>
      </c>
      <c r="F28" s="971" t="s">
        <v>274</v>
      </c>
      <c r="G28" s="966"/>
      <c r="H28" s="954">
        <v>0</v>
      </c>
      <c r="I28" s="954">
        <f t="shared" si="14"/>
        <v>0</v>
      </c>
      <c r="J28" s="954">
        <f t="shared" si="14"/>
        <v>0</v>
      </c>
      <c r="K28" s="954">
        <f t="shared" si="14"/>
        <v>0</v>
      </c>
      <c r="L28" s="954">
        <f t="shared" si="14"/>
        <v>0</v>
      </c>
      <c r="M28" s="954">
        <f t="shared" si="14"/>
        <v>0</v>
      </c>
      <c r="N28" s="954">
        <f t="shared" si="14"/>
        <v>0</v>
      </c>
      <c r="O28" s="70"/>
      <c r="P28" s="67">
        <f>H28*tab!E$7</f>
        <v>0</v>
      </c>
      <c r="Q28" s="67">
        <f>I28*tab!F$7</f>
        <v>0</v>
      </c>
      <c r="R28" s="67">
        <f>J28*tab!G$7</f>
        <v>0</v>
      </c>
      <c r="S28" s="67">
        <f>K28*tab!H$7</f>
        <v>0</v>
      </c>
      <c r="T28" s="67">
        <f>L28*tab!I$7</f>
        <v>0</v>
      </c>
      <c r="U28" s="67">
        <f>M28*tab!J$7</f>
        <v>0</v>
      </c>
      <c r="V28" s="67">
        <f>N28*tab!K$7</f>
        <v>0</v>
      </c>
      <c r="W28" s="70"/>
      <c r="X28" s="119">
        <v>0</v>
      </c>
      <c r="Y28" s="119">
        <f t="shared" si="15"/>
        <v>0</v>
      </c>
      <c r="Z28" s="119">
        <f t="shared" si="12"/>
        <v>0</v>
      </c>
      <c r="AA28" s="119">
        <f t="shared" si="12"/>
        <v>0</v>
      </c>
      <c r="AB28" s="119">
        <f t="shared" si="12"/>
        <v>0</v>
      </c>
      <c r="AC28" s="119">
        <f t="shared" si="12"/>
        <v>0</v>
      </c>
      <c r="AD28" s="119">
        <f t="shared" si="12"/>
        <v>0</v>
      </c>
      <c r="AE28" s="70"/>
      <c r="AF28" s="67">
        <f>+H28*tab!D$8</f>
        <v>0</v>
      </c>
      <c r="AG28" s="67">
        <f>+I28*tab!E$8</f>
        <v>0</v>
      </c>
      <c r="AH28" s="67">
        <f>+J28*tab!F$8</f>
        <v>0</v>
      </c>
      <c r="AI28" s="67">
        <f>+K28*tab!G$8</f>
        <v>0</v>
      </c>
      <c r="AJ28" s="67">
        <f>+L28*tab!H$8</f>
        <v>0</v>
      </c>
      <c r="AK28" s="67">
        <f>+M28*tab!I$8</f>
        <v>0</v>
      </c>
      <c r="AL28" s="67">
        <f>+N28*tab!J$8</f>
        <v>0</v>
      </c>
      <c r="AM28" s="70"/>
      <c r="AN28" s="152">
        <v>0</v>
      </c>
      <c r="AO28" s="119">
        <f t="shared" si="13"/>
        <v>0</v>
      </c>
      <c r="AP28" s="119">
        <f t="shared" si="13"/>
        <v>0</v>
      </c>
      <c r="AQ28" s="119">
        <f t="shared" si="13"/>
        <v>0</v>
      </c>
      <c r="AR28" s="119">
        <f t="shared" si="13"/>
        <v>0</v>
      </c>
      <c r="AS28" s="119">
        <f t="shared" si="13"/>
        <v>0</v>
      </c>
      <c r="AT28" s="119">
        <f t="shared" si="13"/>
        <v>0</v>
      </c>
      <c r="AU28" s="91"/>
      <c r="AV28" s="133"/>
    </row>
    <row r="29" spans="2:48" s="112" customFormat="1" x14ac:dyDescent="0.2">
      <c r="B29" s="953"/>
      <c r="C29" s="149"/>
      <c r="D29" s="49">
        <v>15</v>
      </c>
      <c r="E29" s="150" t="s">
        <v>635</v>
      </c>
      <c r="F29" s="971" t="s">
        <v>274</v>
      </c>
      <c r="G29" s="966"/>
      <c r="H29" s="954">
        <v>0</v>
      </c>
      <c r="I29" s="954">
        <f t="shared" si="14"/>
        <v>0</v>
      </c>
      <c r="J29" s="954">
        <f t="shared" si="14"/>
        <v>0</v>
      </c>
      <c r="K29" s="954">
        <f t="shared" si="14"/>
        <v>0</v>
      </c>
      <c r="L29" s="954">
        <f t="shared" si="14"/>
        <v>0</v>
      </c>
      <c r="M29" s="954">
        <f t="shared" si="14"/>
        <v>0</v>
      </c>
      <c r="N29" s="954">
        <f t="shared" si="14"/>
        <v>0</v>
      </c>
      <c r="O29" s="70"/>
      <c r="P29" s="67">
        <f>H29*tab!E$7</f>
        <v>0</v>
      </c>
      <c r="Q29" s="67">
        <f>I29*tab!F$7</f>
        <v>0</v>
      </c>
      <c r="R29" s="67">
        <f>J29*tab!G$7</f>
        <v>0</v>
      </c>
      <c r="S29" s="67">
        <f>K29*tab!H$7</f>
        <v>0</v>
      </c>
      <c r="T29" s="67">
        <f>L29*tab!I$7</f>
        <v>0</v>
      </c>
      <c r="U29" s="67">
        <f>M29*tab!J$7</f>
        <v>0</v>
      </c>
      <c r="V29" s="67">
        <f>N29*tab!K$7</f>
        <v>0</v>
      </c>
      <c r="W29" s="70"/>
      <c r="X29" s="119">
        <v>0</v>
      </c>
      <c r="Y29" s="119">
        <f t="shared" si="15"/>
        <v>0</v>
      </c>
      <c r="Z29" s="119">
        <f t="shared" si="12"/>
        <v>0</v>
      </c>
      <c r="AA29" s="119">
        <f t="shared" si="12"/>
        <v>0</v>
      </c>
      <c r="AB29" s="119">
        <f t="shared" si="12"/>
        <v>0</v>
      </c>
      <c r="AC29" s="119">
        <f t="shared" si="12"/>
        <v>0</v>
      </c>
      <c r="AD29" s="119">
        <f t="shared" si="12"/>
        <v>0</v>
      </c>
      <c r="AE29" s="70"/>
      <c r="AF29" s="67">
        <f>+H29*tab!D$8</f>
        <v>0</v>
      </c>
      <c r="AG29" s="67">
        <f>+I29*tab!E$8</f>
        <v>0</v>
      </c>
      <c r="AH29" s="67">
        <f>+J29*tab!F$8</f>
        <v>0</v>
      </c>
      <c r="AI29" s="67">
        <f>+K29*tab!G$8</f>
        <v>0</v>
      </c>
      <c r="AJ29" s="67">
        <f>+L29*tab!H$8</f>
        <v>0</v>
      </c>
      <c r="AK29" s="67">
        <f>+M29*tab!I$8</f>
        <v>0</v>
      </c>
      <c r="AL29" s="67">
        <f>+N29*tab!J$8</f>
        <v>0</v>
      </c>
      <c r="AM29" s="70"/>
      <c r="AN29" s="152">
        <v>0</v>
      </c>
      <c r="AO29" s="119">
        <f t="shared" si="13"/>
        <v>0</v>
      </c>
      <c r="AP29" s="119">
        <f t="shared" si="13"/>
        <v>0</v>
      </c>
      <c r="AQ29" s="119">
        <f t="shared" si="13"/>
        <v>0</v>
      </c>
      <c r="AR29" s="119">
        <f t="shared" si="13"/>
        <v>0</v>
      </c>
      <c r="AS29" s="119">
        <f t="shared" si="13"/>
        <v>0</v>
      </c>
      <c r="AT29" s="119">
        <f t="shared" si="13"/>
        <v>0</v>
      </c>
      <c r="AU29" s="91"/>
      <c r="AV29" s="133"/>
    </row>
    <row r="30" spans="2:48" s="112" customFormat="1" x14ac:dyDescent="0.2">
      <c r="B30" s="953"/>
      <c r="C30" s="149"/>
      <c r="D30" s="49">
        <v>16</v>
      </c>
      <c r="E30" s="150" t="s">
        <v>636</v>
      </c>
      <c r="F30" s="971" t="s">
        <v>274</v>
      </c>
      <c r="G30" s="966"/>
      <c r="H30" s="954">
        <v>0</v>
      </c>
      <c r="I30" s="954">
        <f t="shared" si="14"/>
        <v>0</v>
      </c>
      <c r="J30" s="954">
        <f t="shared" si="14"/>
        <v>0</v>
      </c>
      <c r="K30" s="954">
        <f t="shared" si="14"/>
        <v>0</v>
      </c>
      <c r="L30" s="954">
        <f t="shared" si="14"/>
        <v>0</v>
      </c>
      <c r="M30" s="954">
        <f t="shared" si="14"/>
        <v>0</v>
      </c>
      <c r="N30" s="954">
        <f t="shared" si="14"/>
        <v>0</v>
      </c>
      <c r="O30" s="70"/>
      <c r="P30" s="67">
        <f>H30*tab!E$7</f>
        <v>0</v>
      </c>
      <c r="Q30" s="67">
        <f>I30*tab!F$7</f>
        <v>0</v>
      </c>
      <c r="R30" s="67">
        <f>J30*tab!G$7</f>
        <v>0</v>
      </c>
      <c r="S30" s="67">
        <f>K30*tab!H$7</f>
        <v>0</v>
      </c>
      <c r="T30" s="67">
        <f>L30*tab!I$7</f>
        <v>0</v>
      </c>
      <c r="U30" s="67">
        <f>M30*tab!J$7</f>
        <v>0</v>
      </c>
      <c r="V30" s="67">
        <f>N30*tab!K$7</f>
        <v>0</v>
      </c>
      <c r="W30" s="70"/>
      <c r="X30" s="119">
        <v>0</v>
      </c>
      <c r="Y30" s="119">
        <f t="shared" si="15"/>
        <v>0</v>
      </c>
      <c r="Z30" s="119">
        <f t="shared" si="12"/>
        <v>0</v>
      </c>
      <c r="AA30" s="119">
        <f t="shared" si="12"/>
        <v>0</v>
      </c>
      <c r="AB30" s="119">
        <f t="shared" si="12"/>
        <v>0</v>
      </c>
      <c r="AC30" s="119">
        <f t="shared" si="12"/>
        <v>0</v>
      </c>
      <c r="AD30" s="119">
        <f t="shared" si="12"/>
        <v>0</v>
      </c>
      <c r="AE30" s="70"/>
      <c r="AF30" s="67">
        <f>+H30*tab!D$8</f>
        <v>0</v>
      </c>
      <c r="AG30" s="67">
        <f>+I30*tab!E$8</f>
        <v>0</v>
      </c>
      <c r="AH30" s="67">
        <f>+J30*tab!F$8</f>
        <v>0</v>
      </c>
      <c r="AI30" s="67">
        <f>+K30*tab!G$8</f>
        <v>0</v>
      </c>
      <c r="AJ30" s="67">
        <f>+L30*tab!H$8</f>
        <v>0</v>
      </c>
      <c r="AK30" s="67">
        <f>+M30*tab!I$8</f>
        <v>0</v>
      </c>
      <c r="AL30" s="67">
        <f>+N30*tab!J$8</f>
        <v>0</v>
      </c>
      <c r="AM30" s="70"/>
      <c r="AN30" s="152">
        <v>0</v>
      </c>
      <c r="AO30" s="119">
        <f t="shared" si="13"/>
        <v>0</v>
      </c>
      <c r="AP30" s="119">
        <f t="shared" si="13"/>
        <v>0</v>
      </c>
      <c r="AQ30" s="119">
        <f t="shared" si="13"/>
        <v>0</v>
      </c>
      <c r="AR30" s="119">
        <f t="shared" si="13"/>
        <v>0</v>
      </c>
      <c r="AS30" s="119">
        <f t="shared" si="13"/>
        <v>0</v>
      </c>
      <c r="AT30" s="119">
        <f t="shared" si="13"/>
        <v>0</v>
      </c>
      <c r="AU30" s="91"/>
      <c r="AV30" s="133"/>
    </row>
    <row r="31" spans="2:48" s="112" customFormat="1" x14ac:dyDescent="0.2">
      <c r="B31" s="953"/>
      <c r="C31" s="149"/>
      <c r="D31" s="49">
        <v>17</v>
      </c>
      <c r="E31" s="150" t="s">
        <v>637</v>
      </c>
      <c r="F31" s="971" t="s">
        <v>274</v>
      </c>
      <c r="G31" s="966"/>
      <c r="H31" s="954">
        <v>0</v>
      </c>
      <c r="I31" s="954">
        <f t="shared" ref="I31:I37" si="16">+H31</f>
        <v>0</v>
      </c>
      <c r="J31" s="954">
        <f t="shared" ref="J31:J37" si="17">+I31</f>
        <v>0</v>
      </c>
      <c r="K31" s="954">
        <f t="shared" ref="K31:K37" si="18">+J31</f>
        <v>0</v>
      </c>
      <c r="L31" s="954">
        <f t="shared" ref="L31:N37" si="19">+K31</f>
        <v>0</v>
      </c>
      <c r="M31" s="954">
        <f t="shared" si="19"/>
        <v>0</v>
      </c>
      <c r="N31" s="954">
        <f t="shared" si="19"/>
        <v>0</v>
      </c>
      <c r="O31" s="70"/>
      <c r="P31" s="67">
        <f>H31*tab!E$7</f>
        <v>0</v>
      </c>
      <c r="Q31" s="67">
        <f>I31*tab!F$7</f>
        <v>0</v>
      </c>
      <c r="R31" s="67">
        <f>J31*tab!G$7</f>
        <v>0</v>
      </c>
      <c r="S31" s="67">
        <f>K31*tab!H$7</f>
        <v>0</v>
      </c>
      <c r="T31" s="67">
        <f>L31*tab!I$7</f>
        <v>0</v>
      </c>
      <c r="U31" s="67">
        <f>M31*tab!J$7</f>
        <v>0</v>
      </c>
      <c r="V31" s="67">
        <f>N31*tab!K$7</f>
        <v>0</v>
      </c>
      <c r="W31" s="70"/>
      <c r="X31" s="119">
        <v>0</v>
      </c>
      <c r="Y31" s="119">
        <f t="shared" si="15"/>
        <v>0</v>
      </c>
      <c r="Z31" s="119">
        <f t="shared" ref="Z31:AD46" si="20">Y31</f>
        <v>0</v>
      </c>
      <c r="AA31" s="119">
        <f t="shared" si="20"/>
        <v>0</v>
      </c>
      <c r="AB31" s="119">
        <f t="shared" si="20"/>
        <v>0</v>
      </c>
      <c r="AC31" s="119">
        <f t="shared" si="20"/>
        <v>0</v>
      </c>
      <c r="AD31" s="119">
        <f t="shared" si="20"/>
        <v>0</v>
      </c>
      <c r="AE31" s="70"/>
      <c r="AF31" s="67">
        <f>+H31*tab!D$8</f>
        <v>0</v>
      </c>
      <c r="AG31" s="67">
        <f>+I31*tab!E$8</f>
        <v>0</v>
      </c>
      <c r="AH31" s="67">
        <f>+J31*tab!F$8</f>
        <v>0</v>
      </c>
      <c r="AI31" s="67">
        <f>+K31*tab!G$8</f>
        <v>0</v>
      </c>
      <c r="AJ31" s="67">
        <f>+L31*tab!H$8</f>
        <v>0</v>
      </c>
      <c r="AK31" s="67">
        <f>+M31*tab!I$8</f>
        <v>0</v>
      </c>
      <c r="AL31" s="67">
        <f>+N31*tab!J$8</f>
        <v>0</v>
      </c>
      <c r="AM31" s="70"/>
      <c r="AN31" s="152">
        <v>0</v>
      </c>
      <c r="AO31" s="119">
        <f>AN31</f>
        <v>0</v>
      </c>
      <c r="AP31" s="119">
        <f>AO31</f>
        <v>0</v>
      </c>
      <c r="AQ31" s="119">
        <f t="shared" ref="AQ31:AT94" si="21">AP31</f>
        <v>0</v>
      </c>
      <c r="AR31" s="119">
        <f t="shared" si="21"/>
        <v>0</v>
      </c>
      <c r="AS31" s="119">
        <f t="shared" si="21"/>
        <v>0</v>
      </c>
      <c r="AT31" s="119">
        <f t="shared" si="21"/>
        <v>0</v>
      </c>
      <c r="AU31" s="91"/>
      <c r="AV31" s="133"/>
    </row>
    <row r="32" spans="2:48" s="112" customFormat="1" x14ac:dyDescent="0.2">
      <c r="B32" s="953"/>
      <c r="C32" s="149"/>
      <c r="D32" s="49">
        <v>18</v>
      </c>
      <c r="E32" s="150" t="s">
        <v>638</v>
      </c>
      <c r="F32" s="971" t="s">
        <v>274</v>
      </c>
      <c r="G32" s="966"/>
      <c r="H32" s="954">
        <v>0</v>
      </c>
      <c r="I32" s="954">
        <f t="shared" si="16"/>
        <v>0</v>
      </c>
      <c r="J32" s="954">
        <f t="shared" si="17"/>
        <v>0</v>
      </c>
      <c r="K32" s="954">
        <f t="shared" si="18"/>
        <v>0</v>
      </c>
      <c r="L32" s="954">
        <f t="shared" si="19"/>
        <v>0</v>
      </c>
      <c r="M32" s="954">
        <f t="shared" si="19"/>
        <v>0</v>
      </c>
      <c r="N32" s="954">
        <f t="shared" si="19"/>
        <v>0</v>
      </c>
      <c r="O32" s="70"/>
      <c r="P32" s="67">
        <f>H32*tab!E$7</f>
        <v>0</v>
      </c>
      <c r="Q32" s="67">
        <f>I32*tab!F$7</f>
        <v>0</v>
      </c>
      <c r="R32" s="67">
        <f>J32*tab!G$7</f>
        <v>0</v>
      </c>
      <c r="S32" s="67">
        <f>K32*tab!H$7</f>
        <v>0</v>
      </c>
      <c r="T32" s="67">
        <f>L32*tab!I$7</f>
        <v>0</v>
      </c>
      <c r="U32" s="67">
        <f>M32*tab!J$7</f>
        <v>0</v>
      </c>
      <c r="V32" s="67">
        <f>N32*tab!K$7</f>
        <v>0</v>
      </c>
      <c r="W32" s="70"/>
      <c r="X32" s="119">
        <v>0</v>
      </c>
      <c r="Y32" s="119">
        <f t="shared" si="15"/>
        <v>0</v>
      </c>
      <c r="Z32" s="119">
        <f t="shared" si="20"/>
        <v>0</v>
      </c>
      <c r="AA32" s="119">
        <f t="shared" si="20"/>
        <v>0</v>
      </c>
      <c r="AB32" s="119">
        <f t="shared" si="20"/>
        <v>0</v>
      </c>
      <c r="AC32" s="119">
        <f t="shared" si="20"/>
        <v>0</v>
      </c>
      <c r="AD32" s="119">
        <f t="shared" si="20"/>
        <v>0</v>
      </c>
      <c r="AE32" s="70"/>
      <c r="AF32" s="67">
        <f>+H32*tab!D$8</f>
        <v>0</v>
      </c>
      <c r="AG32" s="67">
        <f>+I32*tab!E$8</f>
        <v>0</v>
      </c>
      <c r="AH32" s="67">
        <f>+J32*tab!F$8</f>
        <v>0</v>
      </c>
      <c r="AI32" s="67">
        <f>+K32*tab!G$8</f>
        <v>0</v>
      </c>
      <c r="AJ32" s="67">
        <f>+L32*tab!H$8</f>
        <v>0</v>
      </c>
      <c r="AK32" s="67">
        <f>+M32*tab!I$8</f>
        <v>0</v>
      </c>
      <c r="AL32" s="67">
        <f>+N32*tab!J$8</f>
        <v>0</v>
      </c>
      <c r="AM32" s="70"/>
      <c r="AN32" s="152">
        <v>0</v>
      </c>
      <c r="AO32" s="119">
        <f t="shared" ref="AO32:AP47" si="22">AN32</f>
        <v>0</v>
      </c>
      <c r="AP32" s="119">
        <f t="shared" si="22"/>
        <v>0</v>
      </c>
      <c r="AQ32" s="119">
        <f t="shared" si="21"/>
        <v>0</v>
      </c>
      <c r="AR32" s="119">
        <f t="shared" si="21"/>
        <v>0</v>
      </c>
      <c r="AS32" s="119">
        <f t="shared" si="21"/>
        <v>0</v>
      </c>
      <c r="AT32" s="119">
        <f t="shared" si="21"/>
        <v>0</v>
      </c>
      <c r="AU32" s="91"/>
      <c r="AV32" s="133"/>
    </row>
    <row r="33" spans="2:48" s="112" customFormat="1" x14ac:dyDescent="0.2">
      <c r="B33" s="953"/>
      <c r="C33" s="149"/>
      <c r="D33" s="49">
        <v>19</v>
      </c>
      <c r="E33" s="150" t="s">
        <v>639</v>
      </c>
      <c r="F33" s="971" t="s">
        <v>274</v>
      </c>
      <c r="G33" s="966"/>
      <c r="H33" s="954">
        <v>0</v>
      </c>
      <c r="I33" s="954">
        <f t="shared" si="16"/>
        <v>0</v>
      </c>
      <c r="J33" s="954">
        <f t="shared" si="17"/>
        <v>0</v>
      </c>
      <c r="K33" s="954">
        <f t="shared" si="18"/>
        <v>0</v>
      </c>
      <c r="L33" s="954">
        <f t="shared" si="19"/>
        <v>0</v>
      </c>
      <c r="M33" s="954">
        <f t="shared" si="19"/>
        <v>0</v>
      </c>
      <c r="N33" s="954">
        <f t="shared" si="19"/>
        <v>0</v>
      </c>
      <c r="O33" s="70"/>
      <c r="P33" s="67">
        <f>H33*tab!E$7</f>
        <v>0</v>
      </c>
      <c r="Q33" s="67">
        <f>I33*tab!F$7</f>
        <v>0</v>
      </c>
      <c r="R33" s="67">
        <f>J33*tab!G$7</f>
        <v>0</v>
      </c>
      <c r="S33" s="67">
        <f>K33*tab!H$7</f>
        <v>0</v>
      </c>
      <c r="T33" s="67">
        <f>L33*tab!I$7</f>
        <v>0</v>
      </c>
      <c r="U33" s="67">
        <f>M33*tab!J$7</f>
        <v>0</v>
      </c>
      <c r="V33" s="67">
        <f>N33*tab!K$7</f>
        <v>0</v>
      </c>
      <c r="W33" s="70"/>
      <c r="X33" s="119">
        <v>0</v>
      </c>
      <c r="Y33" s="119">
        <f t="shared" si="15"/>
        <v>0</v>
      </c>
      <c r="Z33" s="119">
        <f t="shared" si="20"/>
        <v>0</v>
      </c>
      <c r="AA33" s="119">
        <f t="shared" si="20"/>
        <v>0</v>
      </c>
      <c r="AB33" s="119">
        <f t="shared" si="20"/>
        <v>0</v>
      </c>
      <c r="AC33" s="119">
        <f t="shared" si="20"/>
        <v>0</v>
      </c>
      <c r="AD33" s="119">
        <f t="shared" si="20"/>
        <v>0</v>
      </c>
      <c r="AE33" s="70"/>
      <c r="AF33" s="67">
        <f>+H33*tab!D$8</f>
        <v>0</v>
      </c>
      <c r="AG33" s="67">
        <f>+I33*tab!E$8</f>
        <v>0</v>
      </c>
      <c r="AH33" s="67">
        <f>+J33*tab!F$8</f>
        <v>0</v>
      </c>
      <c r="AI33" s="67">
        <f>+K33*tab!G$8</f>
        <v>0</v>
      </c>
      <c r="AJ33" s="67">
        <f>+L33*tab!H$8</f>
        <v>0</v>
      </c>
      <c r="AK33" s="67">
        <f>+M33*tab!I$8</f>
        <v>0</v>
      </c>
      <c r="AL33" s="67">
        <f>+N33*tab!J$8</f>
        <v>0</v>
      </c>
      <c r="AM33" s="70"/>
      <c r="AN33" s="152">
        <v>0</v>
      </c>
      <c r="AO33" s="119">
        <f t="shared" si="22"/>
        <v>0</v>
      </c>
      <c r="AP33" s="119">
        <f t="shared" si="22"/>
        <v>0</v>
      </c>
      <c r="AQ33" s="119">
        <f t="shared" si="21"/>
        <v>0</v>
      </c>
      <c r="AR33" s="119">
        <f t="shared" si="21"/>
        <v>0</v>
      </c>
      <c r="AS33" s="119">
        <f t="shared" si="21"/>
        <v>0</v>
      </c>
      <c r="AT33" s="119">
        <f t="shared" si="21"/>
        <v>0</v>
      </c>
      <c r="AU33" s="91"/>
      <c r="AV33" s="133"/>
    </row>
    <row r="34" spans="2:48" s="112" customFormat="1" x14ac:dyDescent="0.2">
      <c r="B34" s="953"/>
      <c r="C34" s="149"/>
      <c r="D34" s="49">
        <v>20</v>
      </c>
      <c r="E34" s="150" t="s">
        <v>640</v>
      </c>
      <c r="F34" s="971" t="s">
        <v>274</v>
      </c>
      <c r="G34" s="966"/>
      <c r="H34" s="954">
        <v>0</v>
      </c>
      <c r="I34" s="954">
        <f t="shared" si="16"/>
        <v>0</v>
      </c>
      <c r="J34" s="954">
        <f t="shared" si="17"/>
        <v>0</v>
      </c>
      <c r="K34" s="954">
        <f t="shared" si="18"/>
        <v>0</v>
      </c>
      <c r="L34" s="954">
        <f t="shared" si="19"/>
        <v>0</v>
      </c>
      <c r="M34" s="954">
        <f t="shared" si="19"/>
        <v>0</v>
      </c>
      <c r="N34" s="954">
        <f t="shared" si="19"/>
        <v>0</v>
      </c>
      <c r="O34" s="70"/>
      <c r="P34" s="67">
        <f>H34*tab!E$7</f>
        <v>0</v>
      </c>
      <c r="Q34" s="67">
        <f>I34*tab!F$7</f>
        <v>0</v>
      </c>
      <c r="R34" s="67">
        <f>J34*tab!G$7</f>
        <v>0</v>
      </c>
      <c r="S34" s="67">
        <f>K34*tab!H$7</f>
        <v>0</v>
      </c>
      <c r="T34" s="67">
        <f>L34*tab!I$7</f>
        <v>0</v>
      </c>
      <c r="U34" s="67">
        <f>M34*tab!J$7</f>
        <v>0</v>
      </c>
      <c r="V34" s="67">
        <f>N34*tab!K$7</f>
        <v>0</v>
      </c>
      <c r="W34" s="70"/>
      <c r="X34" s="119">
        <v>0</v>
      </c>
      <c r="Y34" s="119">
        <f t="shared" si="15"/>
        <v>0</v>
      </c>
      <c r="Z34" s="119">
        <f t="shared" si="20"/>
        <v>0</v>
      </c>
      <c r="AA34" s="119">
        <f t="shared" si="20"/>
        <v>0</v>
      </c>
      <c r="AB34" s="119">
        <f t="shared" si="20"/>
        <v>0</v>
      </c>
      <c r="AC34" s="119">
        <f t="shared" si="20"/>
        <v>0</v>
      </c>
      <c r="AD34" s="119">
        <f t="shared" si="20"/>
        <v>0</v>
      </c>
      <c r="AE34" s="70"/>
      <c r="AF34" s="67">
        <f>+H34*tab!D$8</f>
        <v>0</v>
      </c>
      <c r="AG34" s="67">
        <f>+I34*tab!E$8</f>
        <v>0</v>
      </c>
      <c r="AH34" s="67">
        <f>+J34*tab!F$8</f>
        <v>0</v>
      </c>
      <c r="AI34" s="67">
        <f>+K34*tab!G$8</f>
        <v>0</v>
      </c>
      <c r="AJ34" s="67">
        <f>+L34*tab!H$8</f>
        <v>0</v>
      </c>
      <c r="AK34" s="67">
        <f>+M34*tab!I$8</f>
        <v>0</v>
      </c>
      <c r="AL34" s="67">
        <f>+N34*tab!J$8</f>
        <v>0</v>
      </c>
      <c r="AM34" s="70"/>
      <c r="AN34" s="152">
        <v>0</v>
      </c>
      <c r="AO34" s="119">
        <f t="shared" si="22"/>
        <v>0</v>
      </c>
      <c r="AP34" s="119">
        <f t="shared" si="22"/>
        <v>0</v>
      </c>
      <c r="AQ34" s="119">
        <f t="shared" si="21"/>
        <v>0</v>
      </c>
      <c r="AR34" s="119">
        <f t="shared" si="21"/>
        <v>0</v>
      </c>
      <c r="AS34" s="119">
        <f t="shared" si="21"/>
        <v>0</v>
      </c>
      <c r="AT34" s="119">
        <f t="shared" si="21"/>
        <v>0</v>
      </c>
      <c r="AU34" s="91"/>
      <c r="AV34" s="133"/>
    </row>
    <row r="35" spans="2:48" s="112" customFormat="1" x14ac:dyDescent="0.2">
      <c r="B35" s="953"/>
      <c r="C35" s="149"/>
      <c r="D35" s="49">
        <v>21</v>
      </c>
      <c r="E35" s="150" t="s">
        <v>641</v>
      </c>
      <c r="F35" s="971" t="s">
        <v>274</v>
      </c>
      <c r="G35" s="966"/>
      <c r="H35" s="954">
        <v>0</v>
      </c>
      <c r="I35" s="954">
        <f t="shared" si="16"/>
        <v>0</v>
      </c>
      <c r="J35" s="954">
        <f t="shared" si="17"/>
        <v>0</v>
      </c>
      <c r="K35" s="954">
        <f t="shared" si="18"/>
        <v>0</v>
      </c>
      <c r="L35" s="954">
        <f t="shared" si="19"/>
        <v>0</v>
      </c>
      <c r="M35" s="954">
        <f t="shared" si="19"/>
        <v>0</v>
      </c>
      <c r="N35" s="954">
        <f t="shared" si="19"/>
        <v>0</v>
      </c>
      <c r="O35" s="70"/>
      <c r="P35" s="67">
        <f>H35*tab!E$7</f>
        <v>0</v>
      </c>
      <c r="Q35" s="67">
        <f>I35*tab!F$7</f>
        <v>0</v>
      </c>
      <c r="R35" s="67">
        <f>J35*tab!G$7</f>
        <v>0</v>
      </c>
      <c r="S35" s="67">
        <f>K35*tab!H$7</f>
        <v>0</v>
      </c>
      <c r="T35" s="67">
        <f>L35*tab!I$7</f>
        <v>0</v>
      </c>
      <c r="U35" s="67">
        <f>M35*tab!J$7</f>
        <v>0</v>
      </c>
      <c r="V35" s="67">
        <f>N35*tab!K$7</f>
        <v>0</v>
      </c>
      <c r="W35" s="70"/>
      <c r="X35" s="119">
        <v>0</v>
      </c>
      <c r="Y35" s="119">
        <f t="shared" si="15"/>
        <v>0</v>
      </c>
      <c r="Z35" s="119">
        <f t="shared" si="20"/>
        <v>0</v>
      </c>
      <c r="AA35" s="119">
        <f t="shared" si="20"/>
        <v>0</v>
      </c>
      <c r="AB35" s="119">
        <f t="shared" si="20"/>
        <v>0</v>
      </c>
      <c r="AC35" s="119">
        <f t="shared" si="20"/>
        <v>0</v>
      </c>
      <c r="AD35" s="119">
        <f t="shared" si="20"/>
        <v>0</v>
      </c>
      <c r="AE35" s="70"/>
      <c r="AF35" s="67">
        <f>+H35*tab!D$8</f>
        <v>0</v>
      </c>
      <c r="AG35" s="67">
        <f>+I35*tab!E$8</f>
        <v>0</v>
      </c>
      <c r="AH35" s="67">
        <f>+J35*tab!F$8</f>
        <v>0</v>
      </c>
      <c r="AI35" s="67">
        <f>+K35*tab!G$8</f>
        <v>0</v>
      </c>
      <c r="AJ35" s="67">
        <f>+L35*tab!H$8</f>
        <v>0</v>
      </c>
      <c r="AK35" s="67">
        <f>+M35*tab!I$8</f>
        <v>0</v>
      </c>
      <c r="AL35" s="67">
        <f>+N35*tab!J$8</f>
        <v>0</v>
      </c>
      <c r="AM35" s="70"/>
      <c r="AN35" s="152">
        <v>0</v>
      </c>
      <c r="AO35" s="119">
        <f t="shared" si="22"/>
        <v>0</v>
      </c>
      <c r="AP35" s="119">
        <f t="shared" si="22"/>
        <v>0</v>
      </c>
      <c r="AQ35" s="119">
        <f t="shared" si="21"/>
        <v>0</v>
      </c>
      <c r="AR35" s="119">
        <f t="shared" si="21"/>
        <v>0</v>
      </c>
      <c r="AS35" s="119">
        <f t="shared" si="21"/>
        <v>0</v>
      </c>
      <c r="AT35" s="119">
        <f t="shared" si="21"/>
        <v>0</v>
      </c>
      <c r="AU35" s="91"/>
      <c r="AV35" s="133"/>
    </row>
    <row r="36" spans="2:48" s="112" customFormat="1" x14ac:dyDescent="0.2">
      <c r="B36" s="953"/>
      <c r="C36" s="149"/>
      <c r="D36" s="49">
        <v>22</v>
      </c>
      <c r="E36" s="150" t="s">
        <v>642</v>
      </c>
      <c r="F36" s="971" t="s">
        <v>274</v>
      </c>
      <c r="G36" s="967"/>
      <c r="H36" s="954">
        <v>0</v>
      </c>
      <c r="I36" s="833">
        <f t="shared" si="16"/>
        <v>0</v>
      </c>
      <c r="J36" s="833">
        <f t="shared" si="17"/>
        <v>0</v>
      </c>
      <c r="K36" s="833">
        <f t="shared" si="18"/>
        <v>0</v>
      </c>
      <c r="L36" s="833">
        <f t="shared" si="19"/>
        <v>0</v>
      </c>
      <c r="M36" s="833">
        <f t="shared" si="19"/>
        <v>0</v>
      </c>
      <c r="N36" s="833">
        <f t="shared" si="19"/>
        <v>0</v>
      </c>
      <c r="O36" s="70"/>
      <c r="P36" s="67">
        <f>H36*tab!E$7</f>
        <v>0</v>
      </c>
      <c r="Q36" s="67">
        <f>I36*tab!F$7</f>
        <v>0</v>
      </c>
      <c r="R36" s="67">
        <f>J36*tab!G$7</f>
        <v>0</v>
      </c>
      <c r="S36" s="67">
        <f>K36*tab!H$7</f>
        <v>0</v>
      </c>
      <c r="T36" s="67">
        <f>L36*tab!I$7</f>
        <v>0</v>
      </c>
      <c r="U36" s="67">
        <f>M36*tab!J$7</f>
        <v>0</v>
      </c>
      <c r="V36" s="67">
        <f>N36*tab!K$7</f>
        <v>0</v>
      </c>
      <c r="W36" s="70"/>
      <c r="X36" s="119">
        <v>0</v>
      </c>
      <c r="Y36" s="119">
        <f t="shared" si="15"/>
        <v>0</v>
      </c>
      <c r="Z36" s="119">
        <f t="shared" si="20"/>
        <v>0</v>
      </c>
      <c r="AA36" s="119">
        <f t="shared" si="20"/>
        <v>0</v>
      </c>
      <c r="AB36" s="119">
        <f t="shared" si="20"/>
        <v>0</v>
      </c>
      <c r="AC36" s="119">
        <f t="shared" si="20"/>
        <v>0</v>
      </c>
      <c r="AD36" s="119">
        <f t="shared" si="20"/>
        <v>0</v>
      </c>
      <c r="AE36" s="70"/>
      <c r="AF36" s="67">
        <f>+H36*tab!D$8</f>
        <v>0</v>
      </c>
      <c r="AG36" s="67">
        <f>+I36*tab!E$8</f>
        <v>0</v>
      </c>
      <c r="AH36" s="67">
        <f>+J36*tab!F$8</f>
        <v>0</v>
      </c>
      <c r="AI36" s="67">
        <f>+K36*tab!G$8</f>
        <v>0</v>
      </c>
      <c r="AJ36" s="67">
        <f>+L36*tab!H$8</f>
        <v>0</v>
      </c>
      <c r="AK36" s="67">
        <f>+M36*tab!I$8</f>
        <v>0</v>
      </c>
      <c r="AL36" s="67">
        <f>+N36*tab!J$8</f>
        <v>0</v>
      </c>
      <c r="AM36" s="70"/>
      <c r="AN36" s="152">
        <v>0</v>
      </c>
      <c r="AO36" s="119">
        <f t="shared" si="22"/>
        <v>0</v>
      </c>
      <c r="AP36" s="119">
        <f t="shared" si="22"/>
        <v>0</v>
      </c>
      <c r="AQ36" s="119">
        <f t="shared" si="21"/>
        <v>0</v>
      </c>
      <c r="AR36" s="119">
        <f t="shared" si="21"/>
        <v>0</v>
      </c>
      <c r="AS36" s="119">
        <f t="shared" si="21"/>
        <v>0</v>
      </c>
      <c r="AT36" s="119">
        <f t="shared" si="21"/>
        <v>0</v>
      </c>
      <c r="AU36" s="91"/>
      <c r="AV36" s="133"/>
    </row>
    <row r="37" spans="2:48" s="112" customFormat="1" x14ac:dyDescent="0.2">
      <c r="B37" s="953"/>
      <c r="C37" s="149"/>
      <c r="D37" s="49">
        <v>23</v>
      </c>
      <c r="E37" s="150" t="s">
        <v>643</v>
      </c>
      <c r="F37" s="971" t="s">
        <v>274</v>
      </c>
      <c r="G37" s="967"/>
      <c r="H37" s="954">
        <v>0</v>
      </c>
      <c r="I37" s="833">
        <f t="shared" si="16"/>
        <v>0</v>
      </c>
      <c r="J37" s="833">
        <f t="shared" si="17"/>
        <v>0</v>
      </c>
      <c r="K37" s="833">
        <f t="shared" si="18"/>
        <v>0</v>
      </c>
      <c r="L37" s="833">
        <f t="shared" si="19"/>
        <v>0</v>
      </c>
      <c r="M37" s="833">
        <f t="shared" si="19"/>
        <v>0</v>
      </c>
      <c r="N37" s="833">
        <f t="shared" si="19"/>
        <v>0</v>
      </c>
      <c r="O37" s="70"/>
      <c r="P37" s="67">
        <f>H37*tab!E$7</f>
        <v>0</v>
      </c>
      <c r="Q37" s="67">
        <f>I37*tab!F$7</f>
        <v>0</v>
      </c>
      <c r="R37" s="67">
        <f>J37*tab!G$7</f>
        <v>0</v>
      </c>
      <c r="S37" s="67">
        <f>K37*tab!H$7</f>
        <v>0</v>
      </c>
      <c r="T37" s="67">
        <f>L37*tab!I$7</f>
        <v>0</v>
      </c>
      <c r="U37" s="67">
        <f>M37*tab!J$7</f>
        <v>0</v>
      </c>
      <c r="V37" s="67">
        <f>N37*tab!K$7</f>
        <v>0</v>
      </c>
      <c r="W37" s="70"/>
      <c r="X37" s="119">
        <v>0</v>
      </c>
      <c r="Y37" s="119">
        <f t="shared" si="15"/>
        <v>0</v>
      </c>
      <c r="Z37" s="119">
        <f t="shared" si="20"/>
        <v>0</v>
      </c>
      <c r="AA37" s="119">
        <f t="shared" si="20"/>
        <v>0</v>
      </c>
      <c r="AB37" s="119">
        <f t="shared" si="20"/>
        <v>0</v>
      </c>
      <c r="AC37" s="119">
        <f t="shared" si="20"/>
        <v>0</v>
      </c>
      <c r="AD37" s="119">
        <f t="shared" si="20"/>
        <v>0</v>
      </c>
      <c r="AE37" s="70"/>
      <c r="AF37" s="67">
        <f>+H37*tab!D$8</f>
        <v>0</v>
      </c>
      <c r="AG37" s="67">
        <f>+I37*tab!E$8</f>
        <v>0</v>
      </c>
      <c r="AH37" s="67">
        <f>+J37*tab!F$8</f>
        <v>0</v>
      </c>
      <c r="AI37" s="67">
        <f>+K37*tab!G$8</f>
        <v>0</v>
      </c>
      <c r="AJ37" s="67">
        <f>+L37*tab!H$8</f>
        <v>0</v>
      </c>
      <c r="AK37" s="67">
        <f>+M37*tab!I$8</f>
        <v>0</v>
      </c>
      <c r="AL37" s="67">
        <f>+N37*tab!J$8</f>
        <v>0</v>
      </c>
      <c r="AM37" s="70"/>
      <c r="AN37" s="152">
        <v>0</v>
      </c>
      <c r="AO37" s="119">
        <f t="shared" si="22"/>
        <v>0</v>
      </c>
      <c r="AP37" s="119">
        <f t="shared" si="22"/>
        <v>0</v>
      </c>
      <c r="AQ37" s="119">
        <f t="shared" si="21"/>
        <v>0</v>
      </c>
      <c r="AR37" s="119">
        <f t="shared" si="21"/>
        <v>0</v>
      </c>
      <c r="AS37" s="119">
        <f t="shared" si="21"/>
        <v>0</v>
      </c>
      <c r="AT37" s="119">
        <f t="shared" si="21"/>
        <v>0</v>
      </c>
      <c r="AU37" s="91"/>
      <c r="AV37" s="133"/>
    </row>
    <row r="38" spans="2:48" s="112" customFormat="1" x14ac:dyDescent="0.2">
      <c r="B38" s="953"/>
      <c r="C38" s="149"/>
      <c r="D38" s="49">
        <v>24</v>
      </c>
      <c r="E38" s="150" t="s">
        <v>448</v>
      </c>
      <c r="F38" s="831" t="s">
        <v>274</v>
      </c>
      <c r="G38" s="967"/>
      <c r="H38" s="954">
        <v>0</v>
      </c>
      <c r="I38" s="118">
        <f t="shared" ref="I38:N40" si="23">H38</f>
        <v>0</v>
      </c>
      <c r="J38" s="118">
        <f t="shared" si="23"/>
        <v>0</v>
      </c>
      <c r="K38" s="118">
        <f t="shared" si="23"/>
        <v>0</v>
      </c>
      <c r="L38" s="118">
        <f t="shared" si="23"/>
        <v>0</v>
      </c>
      <c r="M38" s="118">
        <f t="shared" si="23"/>
        <v>0</v>
      </c>
      <c r="N38" s="118">
        <f t="shared" si="23"/>
        <v>0</v>
      </c>
      <c r="O38" s="70"/>
      <c r="P38" s="67">
        <f>H38*tab!E$7</f>
        <v>0</v>
      </c>
      <c r="Q38" s="67">
        <f>I38*tab!F$7</f>
        <v>0</v>
      </c>
      <c r="R38" s="67">
        <f>J38*tab!G$7</f>
        <v>0</v>
      </c>
      <c r="S38" s="67">
        <f>K38*tab!H$7</f>
        <v>0</v>
      </c>
      <c r="T38" s="67">
        <f>L38*tab!I$7</f>
        <v>0</v>
      </c>
      <c r="U38" s="67">
        <f>M38*tab!J$7</f>
        <v>0</v>
      </c>
      <c r="V38" s="67">
        <f>N38*tab!K$7</f>
        <v>0</v>
      </c>
      <c r="W38" s="70"/>
      <c r="X38" s="119">
        <v>0</v>
      </c>
      <c r="Y38" s="119">
        <f t="shared" si="15"/>
        <v>0</v>
      </c>
      <c r="Z38" s="119">
        <f t="shared" si="20"/>
        <v>0</v>
      </c>
      <c r="AA38" s="119">
        <f t="shared" si="20"/>
        <v>0</v>
      </c>
      <c r="AB38" s="119">
        <f t="shared" si="20"/>
        <v>0</v>
      </c>
      <c r="AC38" s="119">
        <f t="shared" si="20"/>
        <v>0</v>
      </c>
      <c r="AD38" s="119">
        <f t="shared" si="20"/>
        <v>0</v>
      </c>
      <c r="AE38" s="70"/>
      <c r="AF38" s="67">
        <f>+H38*tab!D$8</f>
        <v>0</v>
      </c>
      <c r="AG38" s="67">
        <f>+I38*tab!E$8</f>
        <v>0</v>
      </c>
      <c r="AH38" s="67">
        <f>+J38*tab!F$8</f>
        <v>0</v>
      </c>
      <c r="AI38" s="67">
        <f>+K38*tab!G$8</f>
        <v>0</v>
      </c>
      <c r="AJ38" s="67">
        <f>+L38*tab!H$8</f>
        <v>0</v>
      </c>
      <c r="AK38" s="67">
        <f>+M38*tab!I$8</f>
        <v>0</v>
      </c>
      <c r="AL38" s="67">
        <f>+N38*tab!J$8</f>
        <v>0</v>
      </c>
      <c r="AM38" s="70"/>
      <c r="AN38" s="152">
        <v>0</v>
      </c>
      <c r="AO38" s="119">
        <f t="shared" si="22"/>
        <v>0</v>
      </c>
      <c r="AP38" s="119">
        <f t="shared" si="22"/>
        <v>0</v>
      </c>
      <c r="AQ38" s="119">
        <f t="shared" si="21"/>
        <v>0</v>
      </c>
      <c r="AR38" s="119">
        <f t="shared" si="21"/>
        <v>0</v>
      </c>
      <c r="AS38" s="119">
        <f t="shared" si="21"/>
        <v>0</v>
      </c>
      <c r="AT38" s="119">
        <f t="shared" si="21"/>
        <v>0</v>
      </c>
      <c r="AU38" s="91"/>
      <c r="AV38" s="133"/>
    </row>
    <row r="39" spans="2:48" s="112" customFormat="1" x14ac:dyDescent="0.2">
      <c r="B39" s="953"/>
      <c r="C39" s="149"/>
      <c r="D39" s="49">
        <v>25</v>
      </c>
      <c r="E39" s="150" t="s">
        <v>449</v>
      </c>
      <c r="F39" s="831" t="s">
        <v>274</v>
      </c>
      <c r="G39" s="967"/>
      <c r="H39" s="954">
        <v>0</v>
      </c>
      <c r="I39" s="118">
        <f t="shared" si="23"/>
        <v>0</v>
      </c>
      <c r="J39" s="118">
        <f t="shared" si="23"/>
        <v>0</v>
      </c>
      <c r="K39" s="118">
        <f t="shared" si="23"/>
        <v>0</v>
      </c>
      <c r="L39" s="118">
        <f t="shared" si="23"/>
        <v>0</v>
      </c>
      <c r="M39" s="118">
        <f t="shared" si="23"/>
        <v>0</v>
      </c>
      <c r="N39" s="118">
        <f t="shared" si="23"/>
        <v>0</v>
      </c>
      <c r="O39" s="70"/>
      <c r="P39" s="67">
        <f>H39*tab!E$7</f>
        <v>0</v>
      </c>
      <c r="Q39" s="67">
        <f>I39*tab!F$7</f>
        <v>0</v>
      </c>
      <c r="R39" s="67">
        <f>J39*tab!G$7</f>
        <v>0</v>
      </c>
      <c r="S39" s="67">
        <f>K39*tab!H$7</f>
        <v>0</v>
      </c>
      <c r="T39" s="67">
        <f>L39*tab!I$7</f>
        <v>0</v>
      </c>
      <c r="U39" s="67">
        <f>M39*tab!J$7</f>
        <v>0</v>
      </c>
      <c r="V39" s="67">
        <f>N39*tab!K$7</f>
        <v>0</v>
      </c>
      <c r="W39" s="70"/>
      <c r="X39" s="119">
        <v>0</v>
      </c>
      <c r="Y39" s="119">
        <f t="shared" si="15"/>
        <v>0</v>
      </c>
      <c r="Z39" s="119">
        <f t="shared" si="20"/>
        <v>0</v>
      </c>
      <c r="AA39" s="119">
        <f t="shared" si="20"/>
        <v>0</v>
      </c>
      <c r="AB39" s="119">
        <f t="shared" si="20"/>
        <v>0</v>
      </c>
      <c r="AC39" s="119">
        <f t="shared" si="20"/>
        <v>0</v>
      </c>
      <c r="AD39" s="119">
        <f t="shared" si="20"/>
        <v>0</v>
      </c>
      <c r="AE39" s="70"/>
      <c r="AF39" s="67">
        <f>+H39*tab!D$8</f>
        <v>0</v>
      </c>
      <c r="AG39" s="67">
        <f>+I39*tab!E$8</f>
        <v>0</v>
      </c>
      <c r="AH39" s="67">
        <f>+J39*tab!F$8</f>
        <v>0</v>
      </c>
      <c r="AI39" s="67">
        <f>+K39*tab!G$8</f>
        <v>0</v>
      </c>
      <c r="AJ39" s="67">
        <f>+L39*tab!H$8</f>
        <v>0</v>
      </c>
      <c r="AK39" s="67">
        <f>+M39*tab!I$8</f>
        <v>0</v>
      </c>
      <c r="AL39" s="67">
        <f>+N39*tab!J$8</f>
        <v>0</v>
      </c>
      <c r="AM39" s="70"/>
      <c r="AN39" s="152">
        <v>0</v>
      </c>
      <c r="AO39" s="119">
        <f t="shared" si="22"/>
        <v>0</v>
      </c>
      <c r="AP39" s="119">
        <f t="shared" si="22"/>
        <v>0</v>
      </c>
      <c r="AQ39" s="119">
        <f t="shared" si="21"/>
        <v>0</v>
      </c>
      <c r="AR39" s="119">
        <f t="shared" si="21"/>
        <v>0</v>
      </c>
      <c r="AS39" s="119">
        <f t="shared" si="21"/>
        <v>0</v>
      </c>
      <c r="AT39" s="119">
        <f t="shared" si="21"/>
        <v>0</v>
      </c>
      <c r="AU39" s="91"/>
      <c r="AV39" s="133"/>
    </row>
    <row r="40" spans="2:48" s="112" customFormat="1" x14ac:dyDescent="0.2">
      <c r="B40" s="953"/>
      <c r="C40" s="149"/>
      <c r="D40" s="49">
        <v>26</v>
      </c>
      <c r="E40" s="150" t="s">
        <v>450</v>
      </c>
      <c r="F40" s="831" t="s">
        <v>274</v>
      </c>
      <c r="G40" s="967"/>
      <c r="H40" s="954">
        <v>0</v>
      </c>
      <c r="I40" s="118">
        <f t="shared" si="23"/>
        <v>0</v>
      </c>
      <c r="J40" s="118">
        <f t="shared" si="23"/>
        <v>0</v>
      </c>
      <c r="K40" s="118">
        <f t="shared" si="23"/>
        <v>0</v>
      </c>
      <c r="L40" s="118">
        <f t="shared" si="23"/>
        <v>0</v>
      </c>
      <c r="M40" s="118">
        <f t="shared" si="23"/>
        <v>0</v>
      </c>
      <c r="N40" s="118">
        <f t="shared" si="23"/>
        <v>0</v>
      </c>
      <c r="O40" s="70"/>
      <c r="P40" s="67">
        <f>H40*tab!E$7</f>
        <v>0</v>
      </c>
      <c r="Q40" s="67">
        <f>I40*tab!F$7</f>
        <v>0</v>
      </c>
      <c r="R40" s="67">
        <f>J40*tab!G$7</f>
        <v>0</v>
      </c>
      <c r="S40" s="67">
        <f>K40*tab!H$7</f>
        <v>0</v>
      </c>
      <c r="T40" s="67">
        <f>L40*tab!I$7</f>
        <v>0</v>
      </c>
      <c r="U40" s="67">
        <f>M40*tab!J$7</f>
        <v>0</v>
      </c>
      <c r="V40" s="67">
        <f>N40*tab!K$7</f>
        <v>0</v>
      </c>
      <c r="W40" s="70"/>
      <c r="X40" s="119">
        <v>0</v>
      </c>
      <c r="Y40" s="119">
        <f t="shared" si="15"/>
        <v>0</v>
      </c>
      <c r="Z40" s="119">
        <f t="shared" si="20"/>
        <v>0</v>
      </c>
      <c r="AA40" s="119">
        <f t="shared" si="20"/>
        <v>0</v>
      </c>
      <c r="AB40" s="119">
        <f t="shared" si="20"/>
        <v>0</v>
      </c>
      <c r="AC40" s="119">
        <f t="shared" si="20"/>
        <v>0</v>
      </c>
      <c r="AD40" s="119">
        <f t="shared" si="20"/>
        <v>0</v>
      </c>
      <c r="AE40" s="70"/>
      <c r="AF40" s="67">
        <f>+H40*tab!D$8</f>
        <v>0</v>
      </c>
      <c r="AG40" s="67">
        <f>+I40*tab!E$8</f>
        <v>0</v>
      </c>
      <c r="AH40" s="67">
        <f>+J40*tab!F$8</f>
        <v>0</v>
      </c>
      <c r="AI40" s="67">
        <f>+K40*tab!G$8</f>
        <v>0</v>
      </c>
      <c r="AJ40" s="67">
        <f>+L40*tab!H$8</f>
        <v>0</v>
      </c>
      <c r="AK40" s="67">
        <f>+M40*tab!I$8</f>
        <v>0</v>
      </c>
      <c r="AL40" s="67">
        <f>+N40*tab!J$8</f>
        <v>0</v>
      </c>
      <c r="AM40" s="70"/>
      <c r="AN40" s="152">
        <v>0</v>
      </c>
      <c r="AO40" s="119">
        <f t="shared" si="22"/>
        <v>0</v>
      </c>
      <c r="AP40" s="119">
        <f t="shared" si="22"/>
        <v>0</v>
      </c>
      <c r="AQ40" s="119">
        <f t="shared" si="21"/>
        <v>0</v>
      </c>
      <c r="AR40" s="119">
        <f t="shared" si="21"/>
        <v>0</v>
      </c>
      <c r="AS40" s="119">
        <f t="shared" si="21"/>
        <v>0</v>
      </c>
      <c r="AT40" s="119">
        <f t="shared" si="21"/>
        <v>0</v>
      </c>
      <c r="AU40" s="91"/>
      <c r="AV40" s="133"/>
    </row>
    <row r="41" spans="2:48" s="112" customFormat="1" x14ac:dyDescent="0.2">
      <c r="B41" s="953"/>
      <c r="C41" s="149"/>
      <c r="D41" s="49">
        <v>27</v>
      </c>
      <c r="E41" s="150" t="s">
        <v>381</v>
      </c>
      <c r="F41" s="831" t="s">
        <v>274</v>
      </c>
      <c r="G41" s="967"/>
      <c r="H41" s="954">
        <v>0</v>
      </c>
      <c r="I41" s="118">
        <f t="shared" ref="I41:N56" si="24">H41</f>
        <v>0</v>
      </c>
      <c r="J41" s="118">
        <f t="shared" si="24"/>
        <v>0</v>
      </c>
      <c r="K41" s="118">
        <f t="shared" si="24"/>
        <v>0</v>
      </c>
      <c r="L41" s="118">
        <f t="shared" si="24"/>
        <v>0</v>
      </c>
      <c r="M41" s="118">
        <f t="shared" si="24"/>
        <v>0</v>
      </c>
      <c r="N41" s="118">
        <f t="shared" si="24"/>
        <v>0</v>
      </c>
      <c r="O41" s="70"/>
      <c r="P41" s="67">
        <f>H41*tab!E$7</f>
        <v>0</v>
      </c>
      <c r="Q41" s="67">
        <f>I41*tab!F$7</f>
        <v>0</v>
      </c>
      <c r="R41" s="67">
        <f>J41*tab!G$7</f>
        <v>0</v>
      </c>
      <c r="S41" s="67">
        <f>K41*tab!H$7</f>
        <v>0</v>
      </c>
      <c r="T41" s="67">
        <f>L41*tab!I$7</f>
        <v>0</v>
      </c>
      <c r="U41" s="67">
        <f>M41*tab!J$7</f>
        <v>0</v>
      </c>
      <c r="V41" s="67">
        <f>N41*tab!K$7</f>
        <v>0</v>
      </c>
      <c r="W41" s="70"/>
      <c r="X41" s="119">
        <v>0</v>
      </c>
      <c r="Y41" s="119">
        <f t="shared" si="15"/>
        <v>0</v>
      </c>
      <c r="Z41" s="119">
        <f t="shared" si="20"/>
        <v>0</v>
      </c>
      <c r="AA41" s="119">
        <f t="shared" si="20"/>
        <v>0</v>
      </c>
      <c r="AB41" s="119">
        <f t="shared" si="20"/>
        <v>0</v>
      </c>
      <c r="AC41" s="119">
        <f t="shared" si="20"/>
        <v>0</v>
      </c>
      <c r="AD41" s="119">
        <f t="shared" si="20"/>
        <v>0</v>
      </c>
      <c r="AE41" s="70"/>
      <c r="AF41" s="67">
        <f>+H41*tab!D$8</f>
        <v>0</v>
      </c>
      <c r="AG41" s="67">
        <f>+I41*tab!E$8</f>
        <v>0</v>
      </c>
      <c r="AH41" s="67">
        <f>+J41*tab!F$8</f>
        <v>0</v>
      </c>
      <c r="AI41" s="67">
        <f>+K41*tab!G$8</f>
        <v>0</v>
      </c>
      <c r="AJ41" s="67">
        <f>+L41*tab!H$8</f>
        <v>0</v>
      </c>
      <c r="AK41" s="67">
        <f>+M41*tab!I$8</f>
        <v>0</v>
      </c>
      <c r="AL41" s="67">
        <f>+N41*tab!J$8</f>
        <v>0</v>
      </c>
      <c r="AM41" s="70"/>
      <c r="AN41" s="152">
        <v>0</v>
      </c>
      <c r="AO41" s="119">
        <f t="shared" si="22"/>
        <v>0</v>
      </c>
      <c r="AP41" s="119">
        <f t="shared" si="22"/>
        <v>0</v>
      </c>
      <c r="AQ41" s="119">
        <f t="shared" si="21"/>
        <v>0</v>
      </c>
      <c r="AR41" s="119">
        <f t="shared" si="21"/>
        <v>0</v>
      </c>
      <c r="AS41" s="119">
        <f t="shared" si="21"/>
        <v>0</v>
      </c>
      <c r="AT41" s="119">
        <f t="shared" si="21"/>
        <v>0</v>
      </c>
      <c r="AU41" s="91"/>
      <c r="AV41" s="133"/>
    </row>
    <row r="42" spans="2:48" s="112" customFormat="1" x14ac:dyDescent="0.2">
      <c r="B42" s="953"/>
      <c r="C42" s="149"/>
      <c r="D42" s="49">
        <v>28</v>
      </c>
      <c r="E42" s="150" t="s">
        <v>382</v>
      </c>
      <c r="F42" s="831" t="s">
        <v>274</v>
      </c>
      <c r="G42" s="967"/>
      <c r="H42" s="954">
        <v>0</v>
      </c>
      <c r="I42" s="118">
        <f t="shared" si="24"/>
        <v>0</v>
      </c>
      <c r="J42" s="118">
        <f t="shared" si="24"/>
        <v>0</v>
      </c>
      <c r="K42" s="118">
        <f t="shared" si="24"/>
        <v>0</v>
      </c>
      <c r="L42" s="118">
        <f t="shared" si="24"/>
        <v>0</v>
      </c>
      <c r="M42" s="118">
        <f t="shared" si="24"/>
        <v>0</v>
      </c>
      <c r="N42" s="118">
        <f t="shared" si="24"/>
        <v>0</v>
      </c>
      <c r="O42" s="70"/>
      <c r="P42" s="67">
        <f>H42*tab!E$7</f>
        <v>0</v>
      </c>
      <c r="Q42" s="67">
        <f>I42*tab!F$7</f>
        <v>0</v>
      </c>
      <c r="R42" s="67">
        <f>J42*tab!G$7</f>
        <v>0</v>
      </c>
      <c r="S42" s="67">
        <f>K42*tab!H$7</f>
        <v>0</v>
      </c>
      <c r="T42" s="67">
        <f>L42*tab!I$7</f>
        <v>0</v>
      </c>
      <c r="U42" s="67">
        <f>M42*tab!J$7</f>
        <v>0</v>
      </c>
      <c r="V42" s="67">
        <f>N42*tab!K$7</f>
        <v>0</v>
      </c>
      <c r="W42" s="70"/>
      <c r="X42" s="119">
        <v>0</v>
      </c>
      <c r="Y42" s="119">
        <f t="shared" si="15"/>
        <v>0</v>
      </c>
      <c r="Z42" s="119">
        <f t="shared" si="20"/>
        <v>0</v>
      </c>
      <c r="AA42" s="119">
        <f t="shared" si="20"/>
        <v>0</v>
      </c>
      <c r="AB42" s="119">
        <f t="shared" si="20"/>
        <v>0</v>
      </c>
      <c r="AC42" s="119">
        <f t="shared" si="20"/>
        <v>0</v>
      </c>
      <c r="AD42" s="119">
        <f t="shared" si="20"/>
        <v>0</v>
      </c>
      <c r="AE42" s="70"/>
      <c r="AF42" s="67">
        <f>+H42*tab!D$8</f>
        <v>0</v>
      </c>
      <c r="AG42" s="67">
        <f>+I42*tab!E$8</f>
        <v>0</v>
      </c>
      <c r="AH42" s="67">
        <f>+J42*tab!F$8</f>
        <v>0</v>
      </c>
      <c r="AI42" s="67">
        <f>+K42*tab!G$8</f>
        <v>0</v>
      </c>
      <c r="AJ42" s="67">
        <f>+L42*tab!H$8</f>
        <v>0</v>
      </c>
      <c r="AK42" s="67">
        <f>+M42*tab!I$8</f>
        <v>0</v>
      </c>
      <c r="AL42" s="67">
        <f>+N42*tab!J$8</f>
        <v>0</v>
      </c>
      <c r="AM42" s="70"/>
      <c r="AN42" s="152">
        <v>0</v>
      </c>
      <c r="AO42" s="119">
        <f t="shared" si="22"/>
        <v>0</v>
      </c>
      <c r="AP42" s="119">
        <f t="shared" si="22"/>
        <v>0</v>
      </c>
      <c r="AQ42" s="119">
        <f t="shared" si="21"/>
        <v>0</v>
      </c>
      <c r="AR42" s="119">
        <f t="shared" si="21"/>
        <v>0</v>
      </c>
      <c r="AS42" s="119">
        <f t="shared" si="21"/>
        <v>0</v>
      </c>
      <c r="AT42" s="119">
        <f t="shared" si="21"/>
        <v>0</v>
      </c>
      <c r="AU42" s="91"/>
      <c r="AV42" s="133"/>
    </row>
    <row r="43" spans="2:48" s="112" customFormat="1" x14ac:dyDescent="0.2">
      <c r="B43" s="953"/>
      <c r="C43" s="149"/>
      <c r="D43" s="49">
        <v>29</v>
      </c>
      <c r="E43" s="150" t="s">
        <v>383</v>
      </c>
      <c r="F43" s="831" t="s">
        <v>274</v>
      </c>
      <c r="G43" s="967"/>
      <c r="H43" s="954">
        <v>0</v>
      </c>
      <c r="I43" s="118">
        <f t="shared" si="24"/>
        <v>0</v>
      </c>
      <c r="J43" s="118">
        <f t="shared" si="24"/>
        <v>0</v>
      </c>
      <c r="K43" s="118">
        <f t="shared" si="24"/>
        <v>0</v>
      </c>
      <c r="L43" s="118">
        <f t="shared" si="24"/>
        <v>0</v>
      </c>
      <c r="M43" s="118">
        <f t="shared" si="24"/>
        <v>0</v>
      </c>
      <c r="N43" s="118">
        <f t="shared" si="24"/>
        <v>0</v>
      </c>
      <c r="O43" s="70"/>
      <c r="P43" s="67">
        <f>H43*tab!E$7</f>
        <v>0</v>
      </c>
      <c r="Q43" s="67">
        <f>I43*tab!F$7</f>
        <v>0</v>
      </c>
      <c r="R43" s="67">
        <f>J43*tab!G$7</f>
        <v>0</v>
      </c>
      <c r="S43" s="67">
        <f>K43*tab!H$7</f>
        <v>0</v>
      </c>
      <c r="T43" s="67">
        <f>L43*tab!I$7</f>
        <v>0</v>
      </c>
      <c r="U43" s="67">
        <f>M43*tab!J$7</f>
        <v>0</v>
      </c>
      <c r="V43" s="67">
        <f>N43*tab!K$7</f>
        <v>0</v>
      </c>
      <c r="W43" s="70"/>
      <c r="X43" s="119">
        <v>0</v>
      </c>
      <c r="Y43" s="119">
        <f t="shared" si="15"/>
        <v>0</v>
      </c>
      <c r="Z43" s="119">
        <f t="shared" si="20"/>
        <v>0</v>
      </c>
      <c r="AA43" s="119">
        <f t="shared" si="20"/>
        <v>0</v>
      </c>
      <c r="AB43" s="119">
        <f t="shared" si="20"/>
        <v>0</v>
      </c>
      <c r="AC43" s="119">
        <f t="shared" si="20"/>
        <v>0</v>
      </c>
      <c r="AD43" s="119">
        <f t="shared" si="20"/>
        <v>0</v>
      </c>
      <c r="AE43" s="70"/>
      <c r="AF43" s="67">
        <f>+H43*tab!D$8</f>
        <v>0</v>
      </c>
      <c r="AG43" s="67">
        <f>+I43*tab!E$8</f>
        <v>0</v>
      </c>
      <c r="AH43" s="67">
        <f>+J43*tab!F$8</f>
        <v>0</v>
      </c>
      <c r="AI43" s="67">
        <f>+K43*tab!G$8</f>
        <v>0</v>
      </c>
      <c r="AJ43" s="67">
        <f>+L43*tab!H$8</f>
        <v>0</v>
      </c>
      <c r="AK43" s="67">
        <f>+M43*tab!I$8</f>
        <v>0</v>
      </c>
      <c r="AL43" s="67">
        <f>+N43*tab!J$8</f>
        <v>0</v>
      </c>
      <c r="AM43" s="70"/>
      <c r="AN43" s="152">
        <v>0</v>
      </c>
      <c r="AO43" s="119">
        <f t="shared" si="22"/>
        <v>0</v>
      </c>
      <c r="AP43" s="119">
        <f t="shared" si="22"/>
        <v>0</v>
      </c>
      <c r="AQ43" s="119">
        <f t="shared" si="21"/>
        <v>0</v>
      </c>
      <c r="AR43" s="119">
        <f t="shared" si="21"/>
        <v>0</v>
      </c>
      <c r="AS43" s="119">
        <f t="shared" si="21"/>
        <v>0</v>
      </c>
      <c r="AT43" s="119">
        <f t="shared" si="21"/>
        <v>0</v>
      </c>
      <c r="AU43" s="91"/>
      <c r="AV43" s="133"/>
    </row>
    <row r="44" spans="2:48" s="112" customFormat="1" x14ac:dyDescent="0.2">
      <c r="B44" s="953"/>
      <c r="C44" s="149"/>
      <c r="D44" s="49">
        <v>30</v>
      </c>
      <c r="E44" s="150" t="s">
        <v>384</v>
      </c>
      <c r="F44" s="831" t="s">
        <v>274</v>
      </c>
      <c r="G44" s="967"/>
      <c r="H44" s="954">
        <v>0</v>
      </c>
      <c r="I44" s="118">
        <f t="shared" si="24"/>
        <v>0</v>
      </c>
      <c r="J44" s="118">
        <f t="shared" si="24"/>
        <v>0</v>
      </c>
      <c r="K44" s="118">
        <f t="shared" si="24"/>
        <v>0</v>
      </c>
      <c r="L44" s="118">
        <f t="shared" si="24"/>
        <v>0</v>
      </c>
      <c r="M44" s="118">
        <f t="shared" si="24"/>
        <v>0</v>
      </c>
      <c r="N44" s="118">
        <f t="shared" si="24"/>
        <v>0</v>
      </c>
      <c r="O44" s="70"/>
      <c r="P44" s="67">
        <f>H44*tab!E$7</f>
        <v>0</v>
      </c>
      <c r="Q44" s="67">
        <f>I44*tab!F$7</f>
        <v>0</v>
      </c>
      <c r="R44" s="67">
        <f>J44*tab!G$7</f>
        <v>0</v>
      </c>
      <c r="S44" s="67">
        <f>K44*tab!H$7</f>
        <v>0</v>
      </c>
      <c r="T44" s="67">
        <f>L44*tab!I$7</f>
        <v>0</v>
      </c>
      <c r="U44" s="67">
        <f>M44*tab!J$7</f>
        <v>0</v>
      </c>
      <c r="V44" s="67">
        <f>N44*tab!K$7</f>
        <v>0</v>
      </c>
      <c r="W44" s="70"/>
      <c r="X44" s="119">
        <v>0</v>
      </c>
      <c r="Y44" s="119">
        <f t="shared" si="15"/>
        <v>0</v>
      </c>
      <c r="Z44" s="119">
        <f t="shared" si="20"/>
        <v>0</v>
      </c>
      <c r="AA44" s="119">
        <f t="shared" si="20"/>
        <v>0</v>
      </c>
      <c r="AB44" s="119">
        <f t="shared" si="20"/>
        <v>0</v>
      </c>
      <c r="AC44" s="119">
        <f t="shared" si="20"/>
        <v>0</v>
      </c>
      <c r="AD44" s="119">
        <f t="shared" si="20"/>
        <v>0</v>
      </c>
      <c r="AE44" s="70"/>
      <c r="AF44" s="67">
        <f>+H44*tab!D$8</f>
        <v>0</v>
      </c>
      <c r="AG44" s="67">
        <f>+I44*tab!E$8</f>
        <v>0</v>
      </c>
      <c r="AH44" s="67">
        <f>+J44*tab!F$8</f>
        <v>0</v>
      </c>
      <c r="AI44" s="67">
        <f>+K44*tab!G$8</f>
        <v>0</v>
      </c>
      <c r="AJ44" s="67">
        <f>+L44*tab!H$8</f>
        <v>0</v>
      </c>
      <c r="AK44" s="67">
        <f>+M44*tab!I$8</f>
        <v>0</v>
      </c>
      <c r="AL44" s="67">
        <f>+N44*tab!J$8</f>
        <v>0</v>
      </c>
      <c r="AM44" s="70"/>
      <c r="AN44" s="152">
        <v>0</v>
      </c>
      <c r="AO44" s="119">
        <f t="shared" si="22"/>
        <v>0</v>
      </c>
      <c r="AP44" s="119">
        <f t="shared" si="22"/>
        <v>0</v>
      </c>
      <c r="AQ44" s="119">
        <f t="shared" si="21"/>
        <v>0</v>
      </c>
      <c r="AR44" s="119">
        <f t="shared" si="21"/>
        <v>0</v>
      </c>
      <c r="AS44" s="119">
        <f t="shared" si="21"/>
        <v>0</v>
      </c>
      <c r="AT44" s="119">
        <f t="shared" si="21"/>
        <v>0</v>
      </c>
      <c r="AU44" s="91"/>
      <c r="AV44" s="133"/>
    </row>
    <row r="45" spans="2:48" s="112" customFormat="1" x14ac:dyDescent="0.2">
      <c r="B45" s="953"/>
      <c r="C45" s="149"/>
      <c r="D45" s="49">
        <v>31</v>
      </c>
      <c r="E45" s="150" t="s">
        <v>546</v>
      </c>
      <c r="F45" s="831" t="s">
        <v>274</v>
      </c>
      <c r="G45" s="967"/>
      <c r="H45" s="954">
        <v>0</v>
      </c>
      <c r="I45" s="118">
        <f t="shared" si="24"/>
        <v>0</v>
      </c>
      <c r="J45" s="118">
        <f t="shared" si="24"/>
        <v>0</v>
      </c>
      <c r="K45" s="118">
        <f t="shared" si="24"/>
        <v>0</v>
      </c>
      <c r="L45" s="118">
        <f t="shared" si="24"/>
        <v>0</v>
      </c>
      <c r="M45" s="118">
        <f t="shared" si="24"/>
        <v>0</v>
      </c>
      <c r="N45" s="118">
        <f t="shared" si="24"/>
        <v>0</v>
      </c>
      <c r="O45" s="70"/>
      <c r="P45" s="67">
        <f>H45*tab!E$7</f>
        <v>0</v>
      </c>
      <c r="Q45" s="67">
        <f>I45*tab!F$7</f>
        <v>0</v>
      </c>
      <c r="R45" s="67">
        <f>J45*tab!G$7</f>
        <v>0</v>
      </c>
      <c r="S45" s="67">
        <f>K45*tab!H$7</f>
        <v>0</v>
      </c>
      <c r="T45" s="67">
        <f>L45*tab!I$7</f>
        <v>0</v>
      </c>
      <c r="U45" s="67">
        <f>M45*tab!J$7</f>
        <v>0</v>
      </c>
      <c r="V45" s="67">
        <f>N45*tab!K$7</f>
        <v>0</v>
      </c>
      <c r="W45" s="70"/>
      <c r="X45" s="119">
        <v>0</v>
      </c>
      <c r="Y45" s="119">
        <f t="shared" si="15"/>
        <v>0</v>
      </c>
      <c r="Z45" s="119">
        <f t="shared" si="20"/>
        <v>0</v>
      </c>
      <c r="AA45" s="119">
        <f t="shared" si="20"/>
        <v>0</v>
      </c>
      <c r="AB45" s="119">
        <f t="shared" si="20"/>
        <v>0</v>
      </c>
      <c r="AC45" s="119">
        <f t="shared" si="20"/>
        <v>0</v>
      </c>
      <c r="AD45" s="119">
        <f t="shared" si="20"/>
        <v>0</v>
      </c>
      <c r="AE45" s="70"/>
      <c r="AF45" s="67">
        <f>+H45*tab!D$8</f>
        <v>0</v>
      </c>
      <c r="AG45" s="67">
        <f>+I45*tab!E$8</f>
        <v>0</v>
      </c>
      <c r="AH45" s="67">
        <f>+J45*tab!F$8</f>
        <v>0</v>
      </c>
      <c r="AI45" s="67">
        <f>+K45*tab!G$8</f>
        <v>0</v>
      </c>
      <c r="AJ45" s="67">
        <f>+L45*tab!H$8</f>
        <v>0</v>
      </c>
      <c r="AK45" s="67">
        <f>+M45*tab!I$8</f>
        <v>0</v>
      </c>
      <c r="AL45" s="67">
        <f>+N45*tab!J$8</f>
        <v>0</v>
      </c>
      <c r="AM45" s="70"/>
      <c r="AN45" s="152">
        <v>0</v>
      </c>
      <c r="AO45" s="119">
        <f t="shared" si="22"/>
        <v>0</v>
      </c>
      <c r="AP45" s="119">
        <f t="shared" si="22"/>
        <v>0</v>
      </c>
      <c r="AQ45" s="119">
        <f t="shared" si="21"/>
        <v>0</v>
      </c>
      <c r="AR45" s="119">
        <f t="shared" si="21"/>
        <v>0</v>
      </c>
      <c r="AS45" s="119">
        <f t="shared" si="21"/>
        <v>0</v>
      </c>
      <c r="AT45" s="119">
        <f t="shared" si="21"/>
        <v>0</v>
      </c>
      <c r="AU45" s="91"/>
      <c r="AV45" s="133"/>
    </row>
    <row r="46" spans="2:48" s="112" customFormat="1" x14ac:dyDescent="0.2">
      <c r="B46" s="953"/>
      <c r="C46" s="149"/>
      <c r="D46" s="49">
        <v>32</v>
      </c>
      <c r="E46" s="150" t="s">
        <v>547</v>
      </c>
      <c r="F46" s="831" t="s">
        <v>274</v>
      </c>
      <c r="G46" s="967"/>
      <c r="H46" s="954">
        <v>0</v>
      </c>
      <c r="I46" s="118">
        <f t="shared" si="24"/>
        <v>0</v>
      </c>
      <c r="J46" s="118">
        <f t="shared" si="24"/>
        <v>0</v>
      </c>
      <c r="K46" s="118">
        <f t="shared" si="24"/>
        <v>0</v>
      </c>
      <c r="L46" s="118">
        <f t="shared" si="24"/>
        <v>0</v>
      </c>
      <c r="M46" s="118">
        <f t="shared" si="24"/>
        <v>0</v>
      </c>
      <c r="N46" s="118">
        <f t="shared" si="24"/>
        <v>0</v>
      </c>
      <c r="O46" s="70"/>
      <c r="P46" s="67">
        <f>H46*tab!E$7</f>
        <v>0</v>
      </c>
      <c r="Q46" s="67">
        <f>I46*tab!F$7</f>
        <v>0</v>
      </c>
      <c r="R46" s="67">
        <f>J46*tab!G$7</f>
        <v>0</v>
      </c>
      <c r="S46" s="67">
        <f>K46*tab!H$7</f>
        <v>0</v>
      </c>
      <c r="T46" s="67">
        <f>L46*tab!I$7</f>
        <v>0</v>
      </c>
      <c r="U46" s="67">
        <f>M46*tab!J$7</f>
        <v>0</v>
      </c>
      <c r="V46" s="67">
        <f>N46*tab!K$7</f>
        <v>0</v>
      </c>
      <c r="W46" s="70"/>
      <c r="X46" s="119">
        <v>0</v>
      </c>
      <c r="Y46" s="119">
        <f t="shared" si="15"/>
        <v>0</v>
      </c>
      <c r="Z46" s="119">
        <f t="shared" si="20"/>
        <v>0</v>
      </c>
      <c r="AA46" s="119">
        <f t="shared" si="20"/>
        <v>0</v>
      </c>
      <c r="AB46" s="119">
        <f t="shared" si="20"/>
        <v>0</v>
      </c>
      <c r="AC46" s="119">
        <f t="shared" si="20"/>
        <v>0</v>
      </c>
      <c r="AD46" s="119">
        <f t="shared" si="20"/>
        <v>0</v>
      </c>
      <c r="AE46" s="70"/>
      <c r="AF46" s="67">
        <f>+H46*tab!D$8</f>
        <v>0</v>
      </c>
      <c r="AG46" s="67">
        <f>+I46*tab!E$8</f>
        <v>0</v>
      </c>
      <c r="AH46" s="67">
        <f>+J46*tab!F$8</f>
        <v>0</v>
      </c>
      <c r="AI46" s="67">
        <f>+K46*tab!G$8</f>
        <v>0</v>
      </c>
      <c r="AJ46" s="67">
        <f>+L46*tab!H$8</f>
        <v>0</v>
      </c>
      <c r="AK46" s="67">
        <f>+M46*tab!I$8</f>
        <v>0</v>
      </c>
      <c r="AL46" s="67">
        <f>+N46*tab!J$8</f>
        <v>0</v>
      </c>
      <c r="AM46" s="70"/>
      <c r="AN46" s="152">
        <v>0</v>
      </c>
      <c r="AO46" s="119">
        <f t="shared" si="22"/>
        <v>0</v>
      </c>
      <c r="AP46" s="119">
        <f t="shared" si="22"/>
        <v>0</v>
      </c>
      <c r="AQ46" s="119">
        <f t="shared" si="21"/>
        <v>0</v>
      </c>
      <c r="AR46" s="119">
        <f t="shared" si="21"/>
        <v>0</v>
      </c>
      <c r="AS46" s="119">
        <f t="shared" si="21"/>
        <v>0</v>
      </c>
      <c r="AT46" s="119">
        <f t="shared" si="21"/>
        <v>0</v>
      </c>
      <c r="AU46" s="91"/>
      <c r="AV46" s="133"/>
    </row>
    <row r="47" spans="2:48" s="112" customFormat="1" x14ac:dyDescent="0.2">
      <c r="B47" s="953"/>
      <c r="C47" s="149"/>
      <c r="D47" s="49">
        <v>33</v>
      </c>
      <c r="E47" s="150" t="s">
        <v>548</v>
      </c>
      <c r="F47" s="831" t="s">
        <v>274</v>
      </c>
      <c r="G47" s="967"/>
      <c r="H47" s="954">
        <v>0</v>
      </c>
      <c r="I47" s="118">
        <f t="shared" si="24"/>
        <v>0</v>
      </c>
      <c r="J47" s="118">
        <f t="shared" si="24"/>
        <v>0</v>
      </c>
      <c r="K47" s="118">
        <f t="shared" si="24"/>
        <v>0</v>
      </c>
      <c r="L47" s="118">
        <f t="shared" si="24"/>
        <v>0</v>
      </c>
      <c r="M47" s="118">
        <f t="shared" si="24"/>
        <v>0</v>
      </c>
      <c r="N47" s="118">
        <f t="shared" si="24"/>
        <v>0</v>
      </c>
      <c r="O47" s="70"/>
      <c r="P47" s="67">
        <f>H47*tab!E$7</f>
        <v>0</v>
      </c>
      <c r="Q47" s="67">
        <f>I47*tab!F$7</f>
        <v>0</v>
      </c>
      <c r="R47" s="67">
        <f>J47*tab!G$7</f>
        <v>0</v>
      </c>
      <c r="S47" s="67">
        <f>K47*tab!H$7</f>
        <v>0</v>
      </c>
      <c r="T47" s="67">
        <f>L47*tab!I$7</f>
        <v>0</v>
      </c>
      <c r="U47" s="67">
        <f>M47*tab!J$7</f>
        <v>0</v>
      </c>
      <c r="V47" s="67">
        <f>N47*tab!K$7</f>
        <v>0</v>
      </c>
      <c r="W47" s="70"/>
      <c r="X47" s="119">
        <v>0</v>
      </c>
      <c r="Y47" s="119">
        <f t="shared" si="15"/>
        <v>0</v>
      </c>
      <c r="Z47" s="119">
        <f t="shared" ref="Z47:AD62" si="25">Y47</f>
        <v>0</v>
      </c>
      <c r="AA47" s="119">
        <f t="shared" si="25"/>
        <v>0</v>
      </c>
      <c r="AB47" s="119">
        <f t="shared" si="25"/>
        <v>0</v>
      </c>
      <c r="AC47" s="119">
        <f t="shared" si="25"/>
        <v>0</v>
      </c>
      <c r="AD47" s="119">
        <f t="shared" si="25"/>
        <v>0</v>
      </c>
      <c r="AE47" s="70"/>
      <c r="AF47" s="67">
        <f>+H47*tab!D$8</f>
        <v>0</v>
      </c>
      <c r="AG47" s="67">
        <f>+I47*tab!E$8</f>
        <v>0</v>
      </c>
      <c r="AH47" s="67">
        <f>+J47*tab!F$8</f>
        <v>0</v>
      </c>
      <c r="AI47" s="67">
        <f>+K47*tab!G$8</f>
        <v>0</v>
      </c>
      <c r="AJ47" s="67">
        <f>+L47*tab!H$8</f>
        <v>0</v>
      </c>
      <c r="AK47" s="67">
        <f>+M47*tab!I$8</f>
        <v>0</v>
      </c>
      <c r="AL47" s="67">
        <f>+N47*tab!J$8</f>
        <v>0</v>
      </c>
      <c r="AM47" s="70"/>
      <c r="AN47" s="152">
        <v>0</v>
      </c>
      <c r="AO47" s="119">
        <f t="shared" si="22"/>
        <v>0</v>
      </c>
      <c r="AP47" s="119">
        <f t="shared" si="22"/>
        <v>0</v>
      </c>
      <c r="AQ47" s="119">
        <f t="shared" si="21"/>
        <v>0</v>
      </c>
      <c r="AR47" s="119">
        <f t="shared" si="21"/>
        <v>0</v>
      </c>
      <c r="AS47" s="119">
        <f t="shared" si="21"/>
        <v>0</v>
      </c>
      <c r="AT47" s="119">
        <f t="shared" si="21"/>
        <v>0</v>
      </c>
      <c r="AU47" s="91"/>
      <c r="AV47" s="133"/>
    </row>
    <row r="48" spans="2:48" s="112" customFormat="1" x14ac:dyDescent="0.2">
      <c r="B48" s="953"/>
      <c r="C48" s="149"/>
      <c r="D48" s="49">
        <v>34</v>
      </c>
      <c r="E48" s="150" t="s">
        <v>549</v>
      </c>
      <c r="F48" s="831" t="s">
        <v>274</v>
      </c>
      <c r="G48" s="967"/>
      <c r="H48" s="954">
        <v>0</v>
      </c>
      <c r="I48" s="118">
        <f t="shared" si="24"/>
        <v>0</v>
      </c>
      <c r="J48" s="118">
        <f t="shared" si="24"/>
        <v>0</v>
      </c>
      <c r="K48" s="118">
        <f t="shared" si="24"/>
        <v>0</v>
      </c>
      <c r="L48" s="118">
        <f t="shared" si="24"/>
        <v>0</v>
      </c>
      <c r="M48" s="118">
        <f t="shared" si="24"/>
        <v>0</v>
      </c>
      <c r="N48" s="118">
        <f t="shared" si="24"/>
        <v>0</v>
      </c>
      <c r="O48" s="70"/>
      <c r="P48" s="67">
        <f>H48*tab!E$7</f>
        <v>0</v>
      </c>
      <c r="Q48" s="67">
        <f>I48*tab!F$7</f>
        <v>0</v>
      </c>
      <c r="R48" s="67">
        <f>J48*tab!G$7</f>
        <v>0</v>
      </c>
      <c r="S48" s="67">
        <f>K48*tab!H$7</f>
        <v>0</v>
      </c>
      <c r="T48" s="67">
        <f>L48*tab!I$7</f>
        <v>0</v>
      </c>
      <c r="U48" s="67">
        <f>M48*tab!J$7</f>
        <v>0</v>
      </c>
      <c r="V48" s="67">
        <f>N48*tab!K$7</f>
        <v>0</v>
      </c>
      <c r="W48" s="70"/>
      <c r="X48" s="119">
        <v>0</v>
      </c>
      <c r="Y48" s="119">
        <f t="shared" ref="Y48:Y79" si="26">X48</f>
        <v>0</v>
      </c>
      <c r="Z48" s="119">
        <f t="shared" si="25"/>
        <v>0</v>
      </c>
      <c r="AA48" s="119">
        <f t="shared" si="25"/>
        <v>0</v>
      </c>
      <c r="AB48" s="119">
        <f t="shared" si="25"/>
        <v>0</v>
      </c>
      <c r="AC48" s="119">
        <f t="shared" si="25"/>
        <v>0</v>
      </c>
      <c r="AD48" s="119">
        <f t="shared" si="25"/>
        <v>0</v>
      </c>
      <c r="AE48" s="70"/>
      <c r="AF48" s="67">
        <f>+H48*tab!D$8</f>
        <v>0</v>
      </c>
      <c r="AG48" s="67">
        <f>+I48*tab!E$8</f>
        <v>0</v>
      </c>
      <c r="AH48" s="67">
        <f>+J48*tab!F$8</f>
        <v>0</v>
      </c>
      <c r="AI48" s="67">
        <f>+K48*tab!G$8</f>
        <v>0</v>
      </c>
      <c r="AJ48" s="67">
        <f>+L48*tab!H$8</f>
        <v>0</v>
      </c>
      <c r="AK48" s="67">
        <f>+M48*tab!I$8</f>
        <v>0</v>
      </c>
      <c r="AL48" s="67">
        <f>+N48*tab!J$8</f>
        <v>0</v>
      </c>
      <c r="AM48" s="70"/>
      <c r="AN48" s="152">
        <v>0</v>
      </c>
      <c r="AO48" s="119">
        <f t="shared" ref="AO48:AP67" si="27">AN48</f>
        <v>0</v>
      </c>
      <c r="AP48" s="119">
        <f t="shared" si="27"/>
        <v>0</v>
      </c>
      <c r="AQ48" s="119">
        <f t="shared" si="21"/>
        <v>0</v>
      </c>
      <c r="AR48" s="119">
        <f t="shared" si="21"/>
        <v>0</v>
      </c>
      <c r="AS48" s="119">
        <f t="shared" si="21"/>
        <v>0</v>
      </c>
      <c r="AT48" s="119">
        <f t="shared" si="21"/>
        <v>0</v>
      </c>
      <c r="AU48" s="91"/>
      <c r="AV48" s="133"/>
    </row>
    <row r="49" spans="2:48" s="112" customFormat="1" x14ac:dyDescent="0.2">
      <c r="B49" s="953"/>
      <c r="C49" s="149"/>
      <c r="D49" s="49">
        <v>35</v>
      </c>
      <c r="E49" s="150" t="s">
        <v>550</v>
      </c>
      <c r="F49" s="831" t="s">
        <v>274</v>
      </c>
      <c r="G49" s="967"/>
      <c r="H49" s="954">
        <v>0</v>
      </c>
      <c r="I49" s="118">
        <f t="shared" si="24"/>
        <v>0</v>
      </c>
      <c r="J49" s="118">
        <f t="shared" si="24"/>
        <v>0</v>
      </c>
      <c r="K49" s="118">
        <f t="shared" si="24"/>
        <v>0</v>
      </c>
      <c r="L49" s="118">
        <f t="shared" si="24"/>
        <v>0</v>
      </c>
      <c r="M49" s="118">
        <f t="shared" si="24"/>
        <v>0</v>
      </c>
      <c r="N49" s="118">
        <f t="shared" si="24"/>
        <v>0</v>
      </c>
      <c r="O49" s="70"/>
      <c r="P49" s="67">
        <f>H49*tab!E$7</f>
        <v>0</v>
      </c>
      <c r="Q49" s="67">
        <f>I49*tab!F$7</f>
        <v>0</v>
      </c>
      <c r="R49" s="67">
        <f>J49*tab!G$7</f>
        <v>0</v>
      </c>
      <c r="S49" s="67">
        <f>K49*tab!H$7</f>
        <v>0</v>
      </c>
      <c r="T49" s="67">
        <f>L49*tab!I$7</f>
        <v>0</v>
      </c>
      <c r="U49" s="67">
        <f>M49*tab!J$7</f>
        <v>0</v>
      </c>
      <c r="V49" s="67">
        <f>N49*tab!K$7</f>
        <v>0</v>
      </c>
      <c r="W49" s="70"/>
      <c r="X49" s="119">
        <v>0</v>
      </c>
      <c r="Y49" s="119">
        <f t="shared" si="26"/>
        <v>0</v>
      </c>
      <c r="Z49" s="119">
        <f t="shared" si="25"/>
        <v>0</v>
      </c>
      <c r="AA49" s="119">
        <f t="shared" si="25"/>
        <v>0</v>
      </c>
      <c r="AB49" s="119">
        <f t="shared" si="25"/>
        <v>0</v>
      </c>
      <c r="AC49" s="119">
        <f t="shared" si="25"/>
        <v>0</v>
      </c>
      <c r="AD49" s="119">
        <f t="shared" si="25"/>
        <v>0</v>
      </c>
      <c r="AE49" s="70"/>
      <c r="AF49" s="67">
        <f>+H49*tab!D$8</f>
        <v>0</v>
      </c>
      <c r="AG49" s="67">
        <f>+I49*tab!E$8</f>
        <v>0</v>
      </c>
      <c r="AH49" s="67">
        <f>+J49*tab!F$8</f>
        <v>0</v>
      </c>
      <c r="AI49" s="67">
        <f>+K49*tab!G$8</f>
        <v>0</v>
      </c>
      <c r="AJ49" s="67">
        <f>+L49*tab!H$8</f>
        <v>0</v>
      </c>
      <c r="AK49" s="67">
        <f>+M49*tab!I$8</f>
        <v>0</v>
      </c>
      <c r="AL49" s="67">
        <f>+N49*tab!J$8</f>
        <v>0</v>
      </c>
      <c r="AM49" s="70"/>
      <c r="AN49" s="152">
        <v>0</v>
      </c>
      <c r="AO49" s="119">
        <f t="shared" si="27"/>
        <v>0</v>
      </c>
      <c r="AP49" s="119">
        <f t="shared" si="27"/>
        <v>0</v>
      </c>
      <c r="AQ49" s="119">
        <f t="shared" si="21"/>
        <v>0</v>
      </c>
      <c r="AR49" s="119">
        <f t="shared" si="21"/>
        <v>0</v>
      </c>
      <c r="AS49" s="119">
        <f t="shared" si="21"/>
        <v>0</v>
      </c>
      <c r="AT49" s="119">
        <f t="shared" si="21"/>
        <v>0</v>
      </c>
      <c r="AU49" s="91"/>
      <c r="AV49" s="133"/>
    </row>
    <row r="50" spans="2:48" s="112" customFormat="1" x14ac:dyDescent="0.2">
      <c r="B50" s="953"/>
      <c r="C50" s="149"/>
      <c r="D50" s="49">
        <v>36</v>
      </c>
      <c r="E50" s="150" t="s">
        <v>551</v>
      </c>
      <c r="F50" s="831" t="s">
        <v>274</v>
      </c>
      <c r="G50" s="967"/>
      <c r="H50" s="954">
        <v>0</v>
      </c>
      <c r="I50" s="118">
        <f t="shared" si="24"/>
        <v>0</v>
      </c>
      <c r="J50" s="118">
        <f t="shared" si="24"/>
        <v>0</v>
      </c>
      <c r="K50" s="118">
        <f t="shared" si="24"/>
        <v>0</v>
      </c>
      <c r="L50" s="118">
        <f t="shared" si="24"/>
        <v>0</v>
      </c>
      <c r="M50" s="118">
        <f t="shared" si="24"/>
        <v>0</v>
      </c>
      <c r="N50" s="118">
        <f t="shared" si="24"/>
        <v>0</v>
      </c>
      <c r="O50" s="70"/>
      <c r="P50" s="67">
        <f>H50*tab!E$7</f>
        <v>0</v>
      </c>
      <c r="Q50" s="67">
        <f>I50*tab!F$7</f>
        <v>0</v>
      </c>
      <c r="R50" s="67">
        <f>J50*tab!G$7</f>
        <v>0</v>
      </c>
      <c r="S50" s="67">
        <f>K50*tab!H$7</f>
        <v>0</v>
      </c>
      <c r="T50" s="67">
        <f>L50*tab!I$7</f>
        <v>0</v>
      </c>
      <c r="U50" s="67">
        <f>M50*tab!J$7</f>
        <v>0</v>
      </c>
      <c r="V50" s="67">
        <f>N50*tab!K$7</f>
        <v>0</v>
      </c>
      <c r="W50" s="70"/>
      <c r="X50" s="119">
        <v>0</v>
      </c>
      <c r="Y50" s="119">
        <f t="shared" si="26"/>
        <v>0</v>
      </c>
      <c r="Z50" s="119">
        <f t="shared" si="25"/>
        <v>0</v>
      </c>
      <c r="AA50" s="119">
        <f t="shared" si="25"/>
        <v>0</v>
      </c>
      <c r="AB50" s="119">
        <f t="shared" si="25"/>
        <v>0</v>
      </c>
      <c r="AC50" s="119">
        <f t="shared" si="25"/>
        <v>0</v>
      </c>
      <c r="AD50" s="119">
        <f t="shared" si="25"/>
        <v>0</v>
      </c>
      <c r="AE50" s="70"/>
      <c r="AF50" s="67">
        <f>+H50*tab!D$8</f>
        <v>0</v>
      </c>
      <c r="AG50" s="67">
        <f>+I50*tab!E$8</f>
        <v>0</v>
      </c>
      <c r="AH50" s="67">
        <f>+J50*tab!F$8</f>
        <v>0</v>
      </c>
      <c r="AI50" s="67">
        <f>+K50*tab!G$8</f>
        <v>0</v>
      </c>
      <c r="AJ50" s="67">
        <f>+L50*tab!H$8</f>
        <v>0</v>
      </c>
      <c r="AK50" s="67">
        <f>+M50*tab!I$8</f>
        <v>0</v>
      </c>
      <c r="AL50" s="67">
        <f>+N50*tab!J$8</f>
        <v>0</v>
      </c>
      <c r="AM50" s="70"/>
      <c r="AN50" s="152">
        <v>0</v>
      </c>
      <c r="AO50" s="119">
        <f t="shared" si="27"/>
        <v>0</v>
      </c>
      <c r="AP50" s="119">
        <f t="shared" si="27"/>
        <v>0</v>
      </c>
      <c r="AQ50" s="119">
        <f t="shared" si="21"/>
        <v>0</v>
      </c>
      <c r="AR50" s="119">
        <f t="shared" si="21"/>
        <v>0</v>
      </c>
      <c r="AS50" s="119">
        <f t="shared" si="21"/>
        <v>0</v>
      </c>
      <c r="AT50" s="119">
        <f t="shared" si="21"/>
        <v>0</v>
      </c>
      <c r="AU50" s="91"/>
      <c r="AV50" s="133"/>
    </row>
    <row r="51" spans="2:48" s="112" customFormat="1" x14ac:dyDescent="0.2">
      <c r="B51" s="953"/>
      <c r="C51" s="149"/>
      <c r="D51" s="49">
        <v>37</v>
      </c>
      <c r="E51" s="150" t="s">
        <v>552</v>
      </c>
      <c r="F51" s="831" t="s">
        <v>274</v>
      </c>
      <c r="G51" s="967"/>
      <c r="H51" s="954">
        <v>0</v>
      </c>
      <c r="I51" s="118">
        <f t="shared" si="24"/>
        <v>0</v>
      </c>
      <c r="J51" s="118">
        <f t="shared" si="24"/>
        <v>0</v>
      </c>
      <c r="K51" s="118">
        <f t="shared" si="24"/>
        <v>0</v>
      </c>
      <c r="L51" s="118">
        <f t="shared" si="24"/>
        <v>0</v>
      </c>
      <c r="M51" s="118">
        <f t="shared" si="24"/>
        <v>0</v>
      </c>
      <c r="N51" s="118">
        <f t="shared" si="24"/>
        <v>0</v>
      </c>
      <c r="O51" s="70"/>
      <c r="P51" s="67">
        <f>H51*tab!E$7</f>
        <v>0</v>
      </c>
      <c r="Q51" s="67">
        <f>I51*tab!F$7</f>
        <v>0</v>
      </c>
      <c r="R51" s="67">
        <f>J51*tab!G$7</f>
        <v>0</v>
      </c>
      <c r="S51" s="67">
        <f>K51*tab!H$7</f>
        <v>0</v>
      </c>
      <c r="T51" s="67">
        <f>L51*tab!I$7</f>
        <v>0</v>
      </c>
      <c r="U51" s="67">
        <f>M51*tab!J$7</f>
        <v>0</v>
      </c>
      <c r="V51" s="67">
        <f>N51*tab!K$7</f>
        <v>0</v>
      </c>
      <c r="W51" s="70"/>
      <c r="X51" s="119">
        <v>0</v>
      </c>
      <c r="Y51" s="119">
        <f t="shared" si="26"/>
        <v>0</v>
      </c>
      <c r="Z51" s="119">
        <f t="shared" si="25"/>
        <v>0</v>
      </c>
      <c r="AA51" s="119">
        <f t="shared" si="25"/>
        <v>0</v>
      </c>
      <c r="AB51" s="119">
        <f t="shared" si="25"/>
        <v>0</v>
      </c>
      <c r="AC51" s="119">
        <f t="shared" si="25"/>
        <v>0</v>
      </c>
      <c r="AD51" s="119">
        <f t="shared" si="25"/>
        <v>0</v>
      </c>
      <c r="AE51" s="70"/>
      <c r="AF51" s="67">
        <f>+H51*tab!D$8</f>
        <v>0</v>
      </c>
      <c r="AG51" s="67">
        <f>+I51*tab!E$8</f>
        <v>0</v>
      </c>
      <c r="AH51" s="67">
        <f>+J51*tab!F$8</f>
        <v>0</v>
      </c>
      <c r="AI51" s="67">
        <f>+K51*tab!G$8</f>
        <v>0</v>
      </c>
      <c r="AJ51" s="67">
        <f>+L51*tab!H$8</f>
        <v>0</v>
      </c>
      <c r="AK51" s="67">
        <f>+M51*tab!I$8</f>
        <v>0</v>
      </c>
      <c r="AL51" s="67">
        <f>+N51*tab!J$8</f>
        <v>0</v>
      </c>
      <c r="AM51" s="70"/>
      <c r="AN51" s="152">
        <v>0</v>
      </c>
      <c r="AO51" s="119">
        <f t="shared" si="27"/>
        <v>0</v>
      </c>
      <c r="AP51" s="119">
        <f t="shared" si="27"/>
        <v>0</v>
      </c>
      <c r="AQ51" s="119">
        <f t="shared" si="21"/>
        <v>0</v>
      </c>
      <c r="AR51" s="119">
        <f t="shared" si="21"/>
        <v>0</v>
      </c>
      <c r="AS51" s="119">
        <f t="shared" si="21"/>
        <v>0</v>
      </c>
      <c r="AT51" s="119">
        <f t="shared" si="21"/>
        <v>0</v>
      </c>
      <c r="AU51" s="91"/>
      <c r="AV51" s="133"/>
    </row>
    <row r="52" spans="2:48" s="112" customFormat="1" x14ac:dyDescent="0.2">
      <c r="B52" s="953"/>
      <c r="C52" s="149"/>
      <c r="D52" s="49">
        <v>38</v>
      </c>
      <c r="E52" s="150" t="s">
        <v>553</v>
      </c>
      <c r="F52" s="831" t="s">
        <v>274</v>
      </c>
      <c r="G52" s="967"/>
      <c r="H52" s="954">
        <v>0</v>
      </c>
      <c r="I52" s="118">
        <f t="shared" si="24"/>
        <v>0</v>
      </c>
      <c r="J52" s="118">
        <f t="shared" si="24"/>
        <v>0</v>
      </c>
      <c r="K52" s="118">
        <f t="shared" si="24"/>
        <v>0</v>
      </c>
      <c r="L52" s="118">
        <f t="shared" si="24"/>
        <v>0</v>
      </c>
      <c r="M52" s="118">
        <f t="shared" si="24"/>
        <v>0</v>
      </c>
      <c r="N52" s="118">
        <f t="shared" si="24"/>
        <v>0</v>
      </c>
      <c r="O52" s="70"/>
      <c r="P52" s="67">
        <f>H52*tab!E$7</f>
        <v>0</v>
      </c>
      <c r="Q52" s="67">
        <f>I52*tab!F$7</f>
        <v>0</v>
      </c>
      <c r="R52" s="67">
        <f>J52*tab!G$7</f>
        <v>0</v>
      </c>
      <c r="S52" s="67">
        <f>K52*tab!H$7</f>
        <v>0</v>
      </c>
      <c r="T52" s="67">
        <f>L52*tab!I$7</f>
        <v>0</v>
      </c>
      <c r="U52" s="67">
        <f>M52*tab!J$7</f>
        <v>0</v>
      </c>
      <c r="V52" s="67">
        <f>N52*tab!K$7</f>
        <v>0</v>
      </c>
      <c r="W52" s="70"/>
      <c r="X52" s="119">
        <v>0</v>
      </c>
      <c r="Y52" s="119">
        <f t="shared" si="26"/>
        <v>0</v>
      </c>
      <c r="Z52" s="119">
        <f t="shared" si="25"/>
        <v>0</v>
      </c>
      <c r="AA52" s="119">
        <f t="shared" si="25"/>
        <v>0</v>
      </c>
      <c r="AB52" s="119">
        <f t="shared" si="25"/>
        <v>0</v>
      </c>
      <c r="AC52" s="119">
        <f t="shared" si="25"/>
        <v>0</v>
      </c>
      <c r="AD52" s="119">
        <f t="shared" si="25"/>
        <v>0</v>
      </c>
      <c r="AE52" s="70"/>
      <c r="AF52" s="67">
        <f>+H52*tab!D$8</f>
        <v>0</v>
      </c>
      <c r="AG52" s="67">
        <f>+I52*tab!E$8</f>
        <v>0</v>
      </c>
      <c r="AH52" s="67">
        <f>+J52*tab!F$8</f>
        <v>0</v>
      </c>
      <c r="AI52" s="67">
        <f>+K52*tab!G$8</f>
        <v>0</v>
      </c>
      <c r="AJ52" s="67">
        <f>+L52*tab!H$8</f>
        <v>0</v>
      </c>
      <c r="AK52" s="67">
        <f>+M52*tab!I$8</f>
        <v>0</v>
      </c>
      <c r="AL52" s="67">
        <f>+N52*tab!J$8</f>
        <v>0</v>
      </c>
      <c r="AM52" s="70"/>
      <c r="AN52" s="152">
        <v>0</v>
      </c>
      <c r="AO52" s="119">
        <f t="shared" si="27"/>
        <v>0</v>
      </c>
      <c r="AP52" s="119">
        <f t="shared" si="27"/>
        <v>0</v>
      </c>
      <c r="AQ52" s="119">
        <f t="shared" si="21"/>
        <v>0</v>
      </c>
      <c r="AR52" s="119">
        <f t="shared" si="21"/>
        <v>0</v>
      </c>
      <c r="AS52" s="119">
        <f t="shared" si="21"/>
        <v>0</v>
      </c>
      <c r="AT52" s="119">
        <f t="shared" si="21"/>
        <v>0</v>
      </c>
      <c r="AU52" s="91"/>
      <c r="AV52" s="133"/>
    </row>
    <row r="53" spans="2:48" s="112" customFormat="1" x14ac:dyDescent="0.2">
      <c r="B53" s="953"/>
      <c r="C53" s="149"/>
      <c r="D53" s="49">
        <v>39</v>
      </c>
      <c r="E53" s="150" t="s">
        <v>554</v>
      </c>
      <c r="F53" s="831" t="s">
        <v>274</v>
      </c>
      <c r="G53" s="967"/>
      <c r="H53" s="954">
        <v>0</v>
      </c>
      <c r="I53" s="118">
        <f t="shared" si="24"/>
        <v>0</v>
      </c>
      <c r="J53" s="118">
        <f t="shared" si="24"/>
        <v>0</v>
      </c>
      <c r="K53" s="118">
        <f t="shared" si="24"/>
        <v>0</v>
      </c>
      <c r="L53" s="118">
        <f t="shared" si="24"/>
        <v>0</v>
      </c>
      <c r="M53" s="118">
        <f t="shared" si="24"/>
        <v>0</v>
      </c>
      <c r="N53" s="118">
        <f t="shared" si="24"/>
        <v>0</v>
      </c>
      <c r="O53" s="70"/>
      <c r="P53" s="67">
        <f>H53*tab!E$7</f>
        <v>0</v>
      </c>
      <c r="Q53" s="67">
        <f>I53*tab!F$7</f>
        <v>0</v>
      </c>
      <c r="R53" s="67">
        <f>J53*tab!G$7</f>
        <v>0</v>
      </c>
      <c r="S53" s="67">
        <f>K53*tab!H$7</f>
        <v>0</v>
      </c>
      <c r="T53" s="67">
        <f>L53*tab!I$7</f>
        <v>0</v>
      </c>
      <c r="U53" s="67">
        <f>M53*tab!J$7</f>
        <v>0</v>
      </c>
      <c r="V53" s="67">
        <f>N53*tab!K$7</f>
        <v>0</v>
      </c>
      <c r="W53" s="70"/>
      <c r="X53" s="119">
        <v>0</v>
      </c>
      <c r="Y53" s="119">
        <f t="shared" si="26"/>
        <v>0</v>
      </c>
      <c r="Z53" s="119">
        <f t="shared" si="25"/>
        <v>0</v>
      </c>
      <c r="AA53" s="119">
        <f t="shared" si="25"/>
        <v>0</v>
      </c>
      <c r="AB53" s="119">
        <f t="shared" si="25"/>
        <v>0</v>
      </c>
      <c r="AC53" s="119">
        <f t="shared" si="25"/>
        <v>0</v>
      </c>
      <c r="AD53" s="119">
        <f t="shared" si="25"/>
        <v>0</v>
      </c>
      <c r="AE53" s="70"/>
      <c r="AF53" s="67">
        <f>+H53*tab!D$8</f>
        <v>0</v>
      </c>
      <c r="AG53" s="67">
        <f>+I53*tab!E$8</f>
        <v>0</v>
      </c>
      <c r="AH53" s="67">
        <f>+J53*tab!F$8</f>
        <v>0</v>
      </c>
      <c r="AI53" s="67">
        <f>+K53*tab!G$8</f>
        <v>0</v>
      </c>
      <c r="AJ53" s="67">
        <f>+L53*tab!H$8</f>
        <v>0</v>
      </c>
      <c r="AK53" s="67">
        <f>+M53*tab!I$8</f>
        <v>0</v>
      </c>
      <c r="AL53" s="67">
        <f>+N53*tab!J$8</f>
        <v>0</v>
      </c>
      <c r="AM53" s="70"/>
      <c r="AN53" s="152">
        <v>0</v>
      </c>
      <c r="AO53" s="119">
        <f t="shared" si="27"/>
        <v>0</v>
      </c>
      <c r="AP53" s="119">
        <f t="shared" si="27"/>
        <v>0</v>
      </c>
      <c r="AQ53" s="119">
        <f t="shared" si="21"/>
        <v>0</v>
      </c>
      <c r="AR53" s="119">
        <f t="shared" si="21"/>
        <v>0</v>
      </c>
      <c r="AS53" s="119">
        <f t="shared" si="21"/>
        <v>0</v>
      </c>
      <c r="AT53" s="119">
        <f t="shared" si="21"/>
        <v>0</v>
      </c>
      <c r="AU53" s="91"/>
      <c r="AV53" s="133"/>
    </row>
    <row r="54" spans="2:48" s="112" customFormat="1" x14ac:dyDescent="0.2">
      <c r="B54" s="953"/>
      <c r="C54" s="149"/>
      <c r="D54" s="49">
        <v>40</v>
      </c>
      <c r="E54" s="150" t="s">
        <v>555</v>
      </c>
      <c r="F54" s="831" t="s">
        <v>274</v>
      </c>
      <c r="G54" s="967"/>
      <c r="H54" s="954">
        <v>0</v>
      </c>
      <c r="I54" s="118">
        <f t="shared" si="24"/>
        <v>0</v>
      </c>
      <c r="J54" s="118">
        <f t="shared" si="24"/>
        <v>0</v>
      </c>
      <c r="K54" s="118">
        <f t="shared" si="24"/>
        <v>0</v>
      </c>
      <c r="L54" s="118">
        <f t="shared" si="24"/>
        <v>0</v>
      </c>
      <c r="M54" s="118">
        <f t="shared" si="24"/>
        <v>0</v>
      </c>
      <c r="N54" s="118">
        <f t="shared" si="24"/>
        <v>0</v>
      </c>
      <c r="O54" s="70"/>
      <c r="P54" s="67">
        <f>H54*tab!E$7</f>
        <v>0</v>
      </c>
      <c r="Q54" s="67">
        <f>I54*tab!F$7</f>
        <v>0</v>
      </c>
      <c r="R54" s="67">
        <f>J54*tab!G$7</f>
        <v>0</v>
      </c>
      <c r="S54" s="67">
        <f>K54*tab!H$7</f>
        <v>0</v>
      </c>
      <c r="T54" s="67">
        <f>L54*tab!I$7</f>
        <v>0</v>
      </c>
      <c r="U54" s="67">
        <f>M54*tab!J$7</f>
        <v>0</v>
      </c>
      <c r="V54" s="67">
        <f>N54*tab!K$7</f>
        <v>0</v>
      </c>
      <c r="W54" s="70"/>
      <c r="X54" s="119">
        <v>0</v>
      </c>
      <c r="Y54" s="119">
        <f t="shared" si="26"/>
        <v>0</v>
      </c>
      <c r="Z54" s="119">
        <f t="shared" si="25"/>
        <v>0</v>
      </c>
      <c r="AA54" s="119">
        <f t="shared" si="25"/>
        <v>0</v>
      </c>
      <c r="AB54" s="119">
        <f t="shared" si="25"/>
        <v>0</v>
      </c>
      <c r="AC54" s="119">
        <f t="shared" si="25"/>
        <v>0</v>
      </c>
      <c r="AD54" s="119">
        <f t="shared" si="25"/>
        <v>0</v>
      </c>
      <c r="AE54" s="70"/>
      <c r="AF54" s="67">
        <f>+H54*tab!D$8</f>
        <v>0</v>
      </c>
      <c r="AG54" s="67">
        <f>+I54*tab!E$8</f>
        <v>0</v>
      </c>
      <c r="AH54" s="67">
        <f>+J54*tab!F$8</f>
        <v>0</v>
      </c>
      <c r="AI54" s="67">
        <f>+K54*tab!G$8</f>
        <v>0</v>
      </c>
      <c r="AJ54" s="67">
        <f>+L54*tab!H$8</f>
        <v>0</v>
      </c>
      <c r="AK54" s="67">
        <f>+M54*tab!I$8</f>
        <v>0</v>
      </c>
      <c r="AL54" s="67">
        <f>+N54*tab!J$8</f>
        <v>0</v>
      </c>
      <c r="AM54" s="70"/>
      <c r="AN54" s="152">
        <v>0</v>
      </c>
      <c r="AO54" s="119">
        <f t="shared" si="27"/>
        <v>0</v>
      </c>
      <c r="AP54" s="119">
        <f t="shared" si="27"/>
        <v>0</v>
      </c>
      <c r="AQ54" s="119">
        <f t="shared" si="21"/>
        <v>0</v>
      </c>
      <c r="AR54" s="119">
        <f t="shared" si="21"/>
        <v>0</v>
      </c>
      <c r="AS54" s="119">
        <f t="shared" si="21"/>
        <v>0</v>
      </c>
      <c r="AT54" s="119">
        <f t="shared" si="21"/>
        <v>0</v>
      </c>
      <c r="AU54" s="91"/>
      <c r="AV54" s="133"/>
    </row>
    <row r="55" spans="2:48" s="112" customFormat="1" x14ac:dyDescent="0.2">
      <c r="B55" s="953"/>
      <c r="C55" s="149"/>
      <c r="D55" s="49">
        <v>41</v>
      </c>
      <c r="E55" s="150" t="s">
        <v>556</v>
      </c>
      <c r="F55" s="831" t="s">
        <v>274</v>
      </c>
      <c r="G55" s="967"/>
      <c r="H55" s="954">
        <v>0</v>
      </c>
      <c r="I55" s="118">
        <f t="shared" si="24"/>
        <v>0</v>
      </c>
      <c r="J55" s="118">
        <f t="shared" si="24"/>
        <v>0</v>
      </c>
      <c r="K55" s="118">
        <f t="shared" si="24"/>
        <v>0</v>
      </c>
      <c r="L55" s="118">
        <f t="shared" si="24"/>
        <v>0</v>
      </c>
      <c r="M55" s="118">
        <f t="shared" si="24"/>
        <v>0</v>
      </c>
      <c r="N55" s="118">
        <f t="shared" si="24"/>
        <v>0</v>
      </c>
      <c r="O55" s="70"/>
      <c r="P55" s="67">
        <f>H55*tab!E$7</f>
        <v>0</v>
      </c>
      <c r="Q55" s="67">
        <f>I55*tab!F$7</f>
        <v>0</v>
      </c>
      <c r="R55" s="67">
        <f>J55*tab!G$7</f>
        <v>0</v>
      </c>
      <c r="S55" s="67">
        <f>K55*tab!H$7</f>
        <v>0</v>
      </c>
      <c r="T55" s="67">
        <f>L55*tab!I$7</f>
        <v>0</v>
      </c>
      <c r="U55" s="67">
        <f>M55*tab!J$7</f>
        <v>0</v>
      </c>
      <c r="V55" s="67">
        <f>N55*tab!K$7</f>
        <v>0</v>
      </c>
      <c r="W55" s="70"/>
      <c r="X55" s="119">
        <v>0</v>
      </c>
      <c r="Y55" s="119">
        <f t="shared" si="26"/>
        <v>0</v>
      </c>
      <c r="Z55" s="119">
        <f t="shared" si="25"/>
        <v>0</v>
      </c>
      <c r="AA55" s="119">
        <f t="shared" si="25"/>
        <v>0</v>
      </c>
      <c r="AB55" s="119">
        <f t="shared" si="25"/>
        <v>0</v>
      </c>
      <c r="AC55" s="119">
        <f t="shared" si="25"/>
        <v>0</v>
      </c>
      <c r="AD55" s="119">
        <f t="shared" si="25"/>
        <v>0</v>
      </c>
      <c r="AE55" s="70"/>
      <c r="AF55" s="67">
        <f>+H55*tab!D$8</f>
        <v>0</v>
      </c>
      <c r="AG55" s="67">
        <f>+I55*tab!E$8</f>
        <v>0</v>
      </c>
      <c r="AH55" s="67">
        <f>+J55*tab!F$8</f>
        <v>0</v>
      </c>
      <c r="AI55" s="67">
        <f>+K55*tab!G$8</f>
        <v>0</v>
      </c>
      <c r="AJ55" s="67">
        <f>+L55*tab!H$8</f>
        <v>0</v>
      </c>
      <c r="AK55" s="67">
        <f>+M55*tab!I$8</f>
        <v>0</v>
      </c>
      <c r="AL55" s="67">
        <f>+N55*tab!J$8</f>
        <v>0</v>
      </c>
      <c r="AM55" s="70"/>
      <c r="AN55" s="152">
        <v>0</v>
      </c>
      <c r="AO55" s="119">
        <f t="shared" si="27"/>
        <v>0</v>
      </c>
      <c r="AP55" s="119">
        <f t="shared" si="27"/>
        <v>0</v>
      </c>
      <c r="AQ55" s="119">
        <f t="shared" si="21"/>
        <v>0</v>
      </c>
      <c r="AR55" s="119">
        <f t="shared" si="21"/>
        <v>0</v>
      </c>
      <c r="AS55" s="119">
        <f t="shared" si="21"/>
        <v>0</v>
      </c>
      <c r="AT55" s="119">
        <f t="shared" si="21"/>
        <v>0</v>
      </c>
      <c r="AU55" s="91"/>
      <c r="AV55" s="133"/>
    </row>
    <row r="56" spans="2:48" s="112" customFormat="1" x14ac:dyDescent="0.2">
      <c r="B56" s="953"/>
      <c r="C56" s="149"/>
      <c r="D56" s="49">
        <v>42</v>
      </c>
      <c r="E56" s="150" t="s">
        <v>557</v>
      </c>
      <c r="F56" s="831" t="s">
        <v>274</v>
      </c>
      <c r="G56" s="967"/>
      <c r="H56" s="954">
        <v>0</v>
      </c>
      <c r="I56" s="118">
        <f t="shared" si="24"/>
        <v>0</v>
      </c>
      <c r="J56" s="118">
        <f t="shared" si="24"/>
        <v>0</v>
      </c>
      <c r="K56" s="118">
        <f t="shared" si="24"/>
        <v>0</v>
      </c>
      <c r="L56" s="118">
        <f t="shared" si="24"/>
        <v>0</v>
      </c>
      <c r="M56" s="118">
        <f t="shared" si="24"/>
        <v>0</v>
      </c>
      <c r="N56" s="118">
        <f t="shared" si="24"/>
        <v>0</v>
      </c>
      <c r="O56" s="70"/>
      <c r="P56" s="67">
        <f>H56*tab!E$7</f>
        <v>0</v>
      </c>
      <c r="Q56" s="67">
        <f>I56*tab!F$7</f>
        <v>0</v>
      </c>
      <c r="R56" s="67">
        <f>J56*tab!G$7</f>
        <v>0</v>
      </c>
      <c r="S56" s="67">
        <f>K56*tab!H$7</f>
        <v>0</v>
      </c>
      <c r="T56" s="67">
        <f>L56*tab!I$7</f>
        <v>0</v>
      </c>
      <c r="U56" s="67">
        <f>M56*tab!J$7</f>
        <v>0</v>
      </c>
      <c r="V56" s="67">
        <f>N56*tab!K$7</f>
        <v>0</v>
      </c>
      <c r="W56" s="70"/>
      <c r="X56" s="119">
        <v>0</v>
      </c>
      <c r="Y56" s="119">
        <f t="shared" si="26"/>
        <v>0</v>
      </c>
      <c r="Z56" s="119">
        <f t="shared" si="25"/>
        <v>0</v>
      </c>
      <c r="AA56" s="119">
        <f t="shared" si="25"/>
        <v>0</v>
      </c>
      <c r="AB56" s="119">
        <f t="shared" si="25"/>
        <v>0</v>
      </c>
      <c r="AC56" s="119">
        <f t="shared" si="25"/>
        <v>0</v>
      </c>
      <c r="AD56" s="119">
        <f t="shared" si="25"/>
        <v>0</v>
      </c>
      <c r="AE56" s="70"/>
      <c r="AF56" s="67">
        <f>+H56*tab!D$8</f>
        <v>0</v>
      </c>
      <c r="AG56" s="67">
        <f>+I56*tab!E$8</f>
        <v>0</v>
      </c>
      <c r="AH56" s="67">
        <f>+J56*tab!F$8</f>
        <v>0</v>
      </c>
      <c r="AI56" s="67">
        <f>+K56*tab!G$8</f>
        <v>0</v>
      </c>
      <c r="AJ56" s="67">
        <f>+L56*tab!H$8</f>
        <v>0</v>
      </c>
      <c r="AK56" s="67">
        <f>+M56*tab!I$8</f>
        <v>0</v>
      </c>
      <c r="AL56" s="67">
        <f>+N56*tab!J$8</f>
        <v>0</v>
      </c>
      <c r="AM56" s="70"/>
      <c r="AN56" s="152">
        <v>0</v>
      </c>
      <c r="AO56" s="119">
        <f t="shared" si="27"/>
        <v>0</v>
      </c>
      <c r="AP56" s="119">
        <f t="shared" si="27"/>
        <v>0</v>
      </c>
      <c r="AQ56" s="119">
        <f t="shared" si="21"/>
        <v>0</v>
      </c>
      <c r="AR56" s="119">
        <f t="shared" si="21"/>
        <v>0</v>
      </c>
      <c r="AS56" s="119">
        <f t="shared" si="21"/>
        <v>0</v>
      </c>
      <c r="AT56" s="119">
        <f t="shared" si="21"/>
        <v>0</v>
      </c>
      <c r="AU56" s="91"/>
      <c r="AV56" s="133"/>
    </row>
    <row r="57" spans="2:48" s="112" customFormat="1" x14ac:dyDescent="0.2">
      <c r="B57" s="953"/>
      <c r="C57" s="149"/>
      <c r="D57" s="49">
        <v>43</v>
      </c>
      <c r="E57" s="150" t="s">
        <v>558</v>
      </c>
      <c r="F57" s="831" t="s">
        <v>274</v>
      </c>
      <c r="G57" s="967"/>
      <c r="H57" s="954">
        <v>0</v>
      </c>
      <c r="I57" s="118">
        <f t="shared" ref="I57:N76" si="28">H57</f>
        <v>0</v>
      </c>
      <c r="J57" s="118">
        <f t="shared" si="28"/>
        <v>0</v>
      </c>
      <c r="K57" s="118">
        <f t="shared" si="28"/>
        <v>0</v>
      </c>
      <c r="L57" s="118">
        <f t="shared" si="28"/>
        <v>0</v>
      </c>
      <c r="M57" s="118">
        <f t="shared" si="28"/>
        <v>0</v>
      </c>
      <c r="N57" s="118">
        <f t="shared" si="28"/>
        <v>0</v>
      </c>
      <c r="O57" s="70"/>
      <c r="P57" s="67">
        <f>H57*tab!E$7</f>
        <v>0</v>
      </c>
      <c r="Q57" s="67">
        <f>I57*tab!F$7</f>
        <v>0</v>
      </c>
      <c r="R57" s="67">
        <f>J57*tab!G$7</f>
        <v>0</v>
      </c>
      <c r="S57" s="67">
        <f>K57*tab!H$7</f>
        <v>0</v>
      </c>
      <c r="T57" s="67">
        <f>L57*tab!I$7</f>
        <v>0</v>
      </c>
      <c r="U57" s="67">
        <f>M57*tab!J$7</f>
        <v>0</v>
      </c>
      <c r="V57" s="67">
        <f>N57*tab!K$7</f>
        <v>0</v>
      </c>
      <c r="W57" s="70"/>
      <c r="X57" s="119">
        <v>0</v>
      </c>
      <c r="Y57" s="119">
        <f t="shared" si="26"/>
        <v>0</v>
      </c>
      <c r="Z57" s="119">
        <f t="shared" si="25"/>
        <v>0</v>
      </c>
      <c r="AA57" s="119">
        <f t="shared" si="25"/>
        <v>0</v>
      </c>
      <c r="AB57" s="119">
        <f t="shared" si="25"/>
        <v>0</v>
      </c>
      <c r="AC57" s="119">
        <f t="shared" si="25"/>
        <v>0</v>
      </c>
      <c r="AD57" s="119">
        <f t="shared" si="25"/>
        <v>0</v>
      </c>
      <c r="AE57" s="70"/>
      <c r="AF57" s="67">
        <f>+H57*tab!D$8</f>
        <v>0</v>
      </c>
      <c r="AG57" s="67">
        <f>+I57*tab!E$8</f>
        <v>0</v>
      </c>
      <c r="AH57" s="67">
        <f>+J57*tab!F$8</f>
        <v>0</v>
      </c>
      <c r="AI57" s="67">
        <f>+K57*tab!G$8</f>
        <v>0</v>
      </c>
      <c r="AJ57" s="67">
        <f>+L57*tab!H$8</f>
        <v>0</v>
      </c>
      <c r="AK57" s="67">
        <f>+M57*tab!I$8</f>
        <v>0</v>
      </c>
      <c r="AL57" s="67">
        <f>+N57*tab!J$8</f>
        <v>0</v>
      </c>
      <c r="AM57" s="70"/>
      <c r="AN57" s="152">
        <v>0</v>
      </c>
      <c r="AO57" s="119">
        <f t="shared" si="27"/>
        <v>0</v>
      </c>
      <c r="AP57" s="119">
        <f t="shared" si="27"/>
        <v>0</v>
      </c>
      <c r="AQ57" s="119">
        <f t="shared" si="21"/>
        <v>0</v>
      </c>
      <c r="AR57" s="119">
        <f t="shared" si="21"/>
        <v>0</v>
      </c>
      <c r="AS57" s="119">
        <f t="shared" si="21"/>
        <v>0</v>
      </c>
      <c r="AT57" s="119">
        <f t="shared" si="21"/>
        <v>0</v>
      </c>
      <c r="AU57" s="91"/>
      <c r="AV57" s="133"/>
    </row>
    <row r="58" spans="2:48" s="112" customFormat="1" x14ac:dyDescent="0.2">
      <c r="B58" s="953"/>
      <c r="C58" s="149"/>
      <c r="D58" s="49">
        <v>44</v>
      </c>
      <c r="E58" s="150" t="s">
        <v>559</v>
      </c>
      <c r="F58" s="831" t="s">
        <v>274</v>
      </c>
      <c r="G58" s="967"/>
      <c r="H58" s="954">
        <v>0</v>
      </c>
      <c r="I58" s="118">
        <f t="shared" si="28"/>
        <v>0</v>
      </c>
      <c r="J58" s="118">
        <f t="shared" si="28"/>
        <v>0</v>
      </c>
      <c r="K58" s="118">
        <f t="shared" si="28"/>
        <v>0</v>
      </c>
      <c r="L58" s="118">
        <f t="shared" si="28"/>
        <v>0</v>
      </c>
      <c r="M58" s="118">
        <f t="shared" si="28"/>
        <v>0</v>
      </c>
      <c r="N58" s="118">
        <f t="shared" si="28"/>
        <v>0</v>
      </c>
      <c r="O58" s="70"/>
      <c r="P58" s="67">
        <f>H58*tab!E$7</f>
        <v>0</v>
      </c>
      <c r="Q58" s="67">
        <f>I58*tab!F$7</f>
        <v>0</v>
      </c>
      <c r="R58" s="67">
        <f>J58*tab!G$7</f>
        <v>0</v>
      </c>
      <c r="S58" s="67">
        <f>K58*tab!H$7</f>
        <v>0</v>
      </c>
      <c r="T58" s="67">
        <f>L58*tab!I$7</f>
        <v>0</v>
      </c>
      <c r="U58" s="67">
        <f>M58*tab!J$7</f>
        <v>0</v>
      </c>
      <c r="V58" s="67">
        <f>N58*tab!K$7</f>
        <v>0</v>
      </c>
      <c r="W58" s="70"/>
      <c r="X58" s="119">
        <v>0</v>
      </c>
      <c r="Y58" s="119">
        <f t="shared" si="26"/>
        <v>0</v>
      </c>
      <c r="Z58" s="119">
        <f t="shared" si="25"/>
        <v>0</v>
      </c>
      <c r="AA58" s="119">
        <f t="shared" si="25"/>
        <v>0</v>
      </c>
      <c r="AB58" s="119">
        <f t="shared" si="25"/>
        <v>0</v>
      </c>
      <c r="AC58" s="119">
        <f t="shared" si="25"/>
        <v>0</v>
      </c>
      <c r="AD58" s="119">
        <f t="shared" si="25"/>
        <v>0</v>
      </c>
      <c r="AE58" s="70"/>
      <c r="AF58" s="67">
        <f>+H58*tab!D$8</f>
        <v>0</v>
      </c>
      <c r="AG58" s="67">
        <f>+I58*tab!E$8</f>
        <v>0</v>
      </c>
      <c r="AH58" s="67">
        <f>+J58*tab!F$8</f>
        <v>0</v>
      </c>
      <c r="AI58" s="67">
        <f>+K58*tab!G$8</f>
        <v>0</v>
      </c>
      <c r="AJ58" s="67">
        <f>+L58*tab!H$8</f>
        <v>0</v>
      </c>
      <c r="AK58" s="67">
        <f>+M58*tab!I$8</f>
        <v>0</v>
      </c>
      <c r="AL58" s="67">
        <f>+N58*tab!J$8</f>
        <v>0</v>
      </c>
      <c r="AM58" s="70"/>
      <c r="AN58" s="152">
        <v>0</v>
      </c>
      <c r="AO58" s="119">
        <f t="shared" si="27"/>
        <v>0</v>
      </c>
      <c r="AP58" s="119">
        <f t="shared" si="27"/>
        <v>0</v>
      </c>
      <c r="AQ58" s="119">
        <f t="shared" si="21"/>
        <v>0</v>
      </c>
      <c r="AR58" s="119">
        <f t="shared" si="21"/>
        <v>0</v>
      </c>
      <c r="AS58" s="119">
        <f t="shared" si="21"/>
        <v>0</v>
      </c>
      <c r="AT58" s="119">
        <f t="shared" si="21"/>
        <v>0</v>
      </c>
      <c r="AU58" s="91"/>
      <c r="AV58" s="133"/>
    </row>
    <row r="59" spans="2:48" s="112" customFormat="1" x14ac:dyDescent="0.2">
      <c r="B59" s="953"/>
      <c r="C59" s="149"/>
      <c r="D59" s="49">
        <v>45</v>
      </c>
      <c r="E59" s="150" t="s">
        <v>560</v>
      </c>
      <c r="F59" s="831" t="s">
        <v>274</v>
      </c>
      <c r="G59" s="967"/>
      <c r="H59" s="954">
        <v>0</v>
      </c>
      <c r="I59" s="118">
        <f t="shared" si="28"/>
        <v>0</v>
      </c>
      <c r="J59" s="118">
        <f t="shared" si="28"/>
        <v>0</v>
      </c>
      <c r="K59" s="118">
        <f t="shared" si="28"/>
        <v>0</v>
      </c>
      <c r="L59" s="118">
        <f t="shared" si="28"/>
        <v>0</v>
      </c>
      <c r="M59" s="118">
        <f t="shared" si="28"/>
        <v>0</v>
      </c>
      <c r="N59" s="118">
        <f t="shared" si="28"/>
        <v>0</v>
      </c>
      <c r="O59" s="70"/>
      <c r="P59" s="67">
        <f>H59*tab!E$7</f>
        <v>0</v>
      </c>
      <c r="Q59" s="67">
        <f>I59*tab!F$7</f>
        <v>0</v>
      </c>
      <c r="R59" s="67">
        <f>J59*tab!G$7</f>
        <v>0</v>
      </c>
      <c r="S59" s="67">
        <f>K59*tab!H$7</f>
        <v>0</v>
      </c>
      <c r="T59" s="67">
        <f>L59*tab!I$7</f>
        <v>0</v>
      </c>
      <c r="U59" s="67">
        <f>M59*tab!J$7</f>
        <v>0</v>
      </c>
      <c r="V59" s="67">
        <f>N59*tab!K$7</f>
        <v>0</v>
      </c>
      <c r="W59" s="70"/>
      <c r="X59" s="119">
        <v>0</v>
      </c>
      <c r="Y59" s="119">
        <f t="shared" si="26"/>
        <v>0</v>
      </c>
      <c r="Z59" s="119">
        <f t="shared" si="25"/>
        <v>0</v>
      </c>
      <c r="AA59" s="119">
        <f t="shared" si="25"/>
        <v>0</v>
      </c>
      <c r="AB59" s="119">
        <f t="shared" si="25"/>
        <v>0</v>
      </c>
      <c r="AC59" s="119">
        <f t="shared" si="25"/>
        <v>0</v>
      </c>
      <c r="AD59" s="119">
        <f t="shared" si="25"/>
        <v>0</v>
      </c>
      <c r="AE59" s="70"/>
      <c r="AF59" s="67">
        <f>+H59*tab!D$8</f>
        <v>0</v>
      </c>
      <c r="AG59" s="67">
        <f>+I59*tab!E$8</f>
        <v>0</v>
      </c>
      <c r="AH59" s="67">
        <f>+J59*tab!F$8</f>
        <v>0</v>
      </c>
      <c r="AI59" s="67">
        <f>+K59*tab!G$8</f>
        <v>0</v>
      </c>
      <c r="AJ59" s="67">
        <f>+L59*tab!H$8</f>
        <v>0</v>
      </c>
      <c r="AK59" s="67">
        <f>+M59*tab!I$8</f>
        <v>0</v>
      </c>
      <c r="AL59" s="67">
        <f>+N59*tab!J$8</f>
        <v>0</v>
      </c>
      <c r="AM59" s="70"/>
      <c r="AN59" s="152">
        <v>0</v>
      </c>
      <c r="AO59" s="119">
        <f t="shared" si="27"/>
        <v>0</v>
      </c>
      <c r="AP59" s="119">
        <f t="shared" si="27"/>
        <v>0</v>
      </c>
      <c r="AQ59" s="119">
        <f t="shared" si="21"/>
        <v>0</v>
      </c>
      <c r="AR59" s="119">
        <f t="shared" si="21"/>
        <v>0</v>
      </c>
      <c r="AS59" s="119">
        <f t="shared" si="21"/>
        <v>0</v>
      </c>
      <c r="AT59" s="119">
        <f t="shared" si="21"/>
        <v>0</v>
      </c>
      <c r="AU59" s="91"/>
      <c r="AV59" s="133"/>
    </row>
    <row r="60" spans="2:48" s="112" customFormat="1" x14ac:dyDescent="0.2">
      <c r="B60" s="953"/>
      <c r="C60" s="149"/>
      <c r="D60" s="49">
        <v>46</v>
      </c>
      <c r="E60" s="150" t="s">
        <v>561</v>
      </c>
      <c r="F60" s="831" t="s">
        <v>274</v>
      </c>
      <c r="G60" s="967"/>
      <c r="H60" s="954">
        <v>0</v>
      </c>
      <c r="I60" s="118">
        <f t="shared" si="28"/>
        <v>0</v>
      </c>
      <c r="J60" s="118">
        <f t="shared" si="28"/>
        <v>0</v>
      </c>
      <c r="K60" s="118">
        <f t="shared" si="28"/>
        <v>0</v>
      </c>
      <c r="L60" s="118">
        <f t="shared" si="28"/>
        <v>0</v>
      </c>
      <c r="M60" s="118">
        <f t="shared" si="28"/>
        <v>0</v>
      </c>
      <c r="N60" s="118">
        <f t="shared" si="28"/>
        <v>0</v>
      </c>
      <c r="O60" s="70"/>
      <c r="P60" s="67">
        <f>H60*tab!E$7</f>
        <v>0</v>
      </c>
      <c r="Q60" s="67">
        <f>I60*tab!F$7</f>
        <v>0</v>
      </c>
      <c r="R60" s="67">
        <f>J60*tab!G$7</f>
        <v>0</v>
      </c>
      <c r="S60" s="67">
        <f>K60*tab!H$7</f>
        <v>0</v>
      </c>
      <c r="T60" s="67">
        <f>L60*tab!I$7</f>
        <v>0</v>
      </c>
      <c r="U60" s="67">
        <f>M60*tab!J$7</f>
        <v>0</v>
      </c>
      <c r="V60" s="67">
        <f>N60*tab!K$7</f>
        <v>0</v>
      </c>
      <c r="W60" s="70"/>
      <c r="X60" s="119">
        <v>0</v>
      </c>
      <c r="Y60" s="119">
        <f t="shared" si="26"/>
        <v>0</v>
      </c>
      <c r="Z60" s="119">
        <f t="shared" si="25"/>
        <v>0</v>
      </c>
      <c r="AA60" s="119">
        <f t="shared" si="25"/>
        <v>0</v>
      </c>
      <c r="AB60" s="119">
        <f t="shared" si="25"/>
        <v>0</v>
      </c>
      <c r="AC60" s="119">
        <f t="shared" si="25"/>
        <v>0</v>
      </c>
      <c r="AD60" s="119">
        <f t="shared" si="25"/>
        <v>0</v>
      </c>
      <c r="AE60" s="70"/>
      <c r="AF60" s="67">
        <f>+H60*tab!D$8</f>
        <v>0</v>
      </c>
      <c r="AG60" s="67">
        <f>+I60*tab!E$8</f>
        <v>0</v>
      </c>
      <c r="AH60" s="67">
        <f>+J60*tab!F$8</f>
        <v>0</v>
      </c>
      <c r="AI60" s="67">
        <f>+K60*tab!G$8</f>
        <v>0</v>
      </c>
      <c r="AJ60" s="67">
        <f>+L60*tab!H$8</f>
        <v>0</v>
      </c>
      <c r="AK60" s="67">
        <f>+M60*tab!I$8</f>
        <v>0</v>
      </c>
      <c r="AL60" s="67">
        <f>+N60*tab!J$8</f>
        <v>0</v>
      </c>
      <c r="AM60" s="70"/>
      <c r="AN60" s="152">
        <v>0</v>
      </c>
      <c r="AO60" s="119">
        <f t="shared" si="27"/>
        <v>0</v>
      </c>
      <c r="AP60" s="119">
        <f t="shared" si="27"/>
        <v>0</v>
      </c>
      <c r="AQ60" s="119">
        <f t="shared" si="21"/>
        <v>0</v>
      </c>
      <c r="AR60" s="119">
        <f t="shared" si="21"/>
        <v>0</v>
      </c>
      <c r="AS60" s="119">
        <f t="shared" si="21"/>
        <v>0</v>
      </c>
      <c r="AT60" s="119">
        <f t="shared" si="21"/>
        <v>0</v>
      </c>
      <c r="AU60" s="91"/>
      <c r="AV60" s="133"/>
    </row>
    <row r="61" spans="2:48" s="112" customFormat="1" x14ac:dyDescent="0.2">
      <c r="B61" s="953"/>
      <c r="C61" s="149"/>
      <c r="D61" s="49">
        <v>47</v>
      </c>
      <c r="E61" s="150" t="s">
        <v>562</v>
      </c>
      <c r="F61" s="831" t="s">
        <v>274</v>
      </c>
      <c r="G61" s="967"/>
      <c r="H61" s="954">
        <v>0</v>
      </c>
      <c r="I61" s="118">
        <f t="shared" si="28"/>
        <v>0</v>
      </c>
      <c r="J61" s="118">
        <f t="shared" si="28"/>
        <v>0</v>
      </c>
      <c r="K61" s="118">
        <f t="shared" si="28"/>
        <v>0</v>
      </c>
      <c r="L61" s="118">
        <f t="shared" si="28"/>
        <v>0</v>
      </c>
      <c r="M61" s="118">
        <f t="shared" si="28"/>
        <v>0</v>
      </c>
      <c r="N61" s="118">
        <f t="shared" si="28"/>
        <v>0</v>
      </c>
      <c r="O61" s="70"/>
      <c r="P61" s="67">
        <f>H61*tab!E$7</f>
        <v>0</v>
      </c>
      <c r="Q61" s="67">
        <f>I61*tab!F$7</f>
        <v>0</v>
      </c>
      <c r="R61" s="67">
        <f>J61*tab!G$7</f>
        <v>0</v>
      </c>
      <c r="S61" s="67">
        <f>K61*tab!H$7</f>
        <v>0</v>
      </c>
      <c r="T61" s="67">
        <f>L61*tab!I$7</f>
        <v>0</v>
      </c>
      <c r="U61" s="67">
        <f>M61*tab!J$7</f>
        <v>0</v>
      </c>
      <c r="V61" s="67">
        <f>N61*tab!K$7</f>
        <v>0</v>
      </c>
      <c r="W61" s="70"/>
      <c r="X61" s="119">
        <v>0</v>
      </c>
      <c r="Y61" s="119">
        <f t="shared" si="26"/>
        <v>0</v>
      </c>
      <c r="Z61" s="119">
        <f t="shared" si="25"/>
        <v>0</v>
      </c>
      <c r="AA61" s="119">
        <f t="shared" si="25"/>
        <v>0</v>
      </c>
      <c r="AB61" s="119">
        <f t="shared" si="25"/>
        <v>0</v>
      </c>
      <c r="AC61" s="119">
        <f t="shared" si="25"/>
        <v>0</v>
      </c>
      <c r="AD61" s="119">
        <f t="shared" si="25"/>
        <v>0</v>
      </c>
      <c r="AE61" s="70"/>
      <c r="AF61" s="67">
        <f>+H61*tab!D$8</f>
        <v>0</v>
      </c>
      <c r="AG61" s="67">
        <f>+I61*tab!E$8</f>
        <v>0</v>
      </c>
      <c r="AH61" s="67">
        <f>+J61*tab!F$8</f>
        <v>0</v>
      </c>
      <c r="AI61" s="67">
        <f>+K61*tab!G$8</f>
        <v>0</v>
      </c>
      <c r="AJ61" s="67">
        <f>+L61*tab!H$8</f>
        <v>0</v>
      </c>
      <c r="AK61" s="67">
        <f>+M61*tab!I$8</f>
        <v>0</v>
      </c>
      <c r="AL61" s="67">
        <f>+N61*tab!J$8</f>
        <v>0</v>
      </c>
      <c r="AM61" s="70"/>
      <c r="AN61" s="152">
        <v>0</v>
      </c>
      <c r="AO61" s="119">
        <f t="shared" si="27"/>
        <v>0</v>
      </c>
      <c r="AP61" s="119">
        <f t="shared" si="27"/>
        <v>0</v>
      </c>
      <c r="AQ61" s="119">
        <f t="shared" si="21"/>
        <v>0</v>
      </c>
      <c r="AR61" s="119">
        <f t="shared" si="21"/>
        <v>0</v>
      </c>
      <c r="AS61" s="119">
        <f t="shared" si="21"/>
        <v>0</v>
      </c>
      <c r="AT61" s="119">
        <f t="shared" si="21"/>
        <v>0</v>
      </c>
      <c r="AU61" s="91"/>
      <c r="AV61" s="133"/>
    </row>
    <row r="62" spans="2:48" s="112" customFormat="1" x14ac:dyDescent="0.2">
      <c r="B62" s="953"/>
      <c r="C62" s="149"/>
      <c r="D62" s="49">
        <v>48</v>
      </c>
      <c r="E62" s="150" t="s">
        <v>563</v>
      </c>
      <c r="F62" s="831" t="s">
        <v>274</v>
      </c>
      <c r="G62" s="967"/>
      <c r="H62" s="954">
        <v>0</v>
      </c>
      <c r="I62" s="118">
        <f t="shared" si="28"/>
        <v>0</v>
      </c>
      <c r="J62" s="118">
        <f t="shared" si="28"/>
        <v>0</v>
      </c>
      <c r="K62" s="118">
        <f t="shared" si="28"/>
        <v>0</v>
      </c>
      <c r="L62" s="118">
        <f t="shared" si="28"/>
        <v>0</v>
      </c>
      <c r="M62" s="118">
        <f t="shared" si="28"/>
        <v>0</v>
      </c>
      <c r="N62" s="118">
        <f t="shared" si="28"/>
        <v>0</v>
      </c>
      <c r="O62" s="70"/>
      <c r="P62" s="67">
        <f>H62*tab!E$7</f>
        <v>0</v>
      </c>
      <c r="Q62" s="67">
        <f>I62*tab!F$7</f>
        <v>0</v>
      </c>
      <c r="R62" s="67">
        <f>J62*tab!G$7</f>
        <v>0</v>
      </c>
      <c r="S62" s="67">
        <f>K62*tab!H$7</f>
        <v>0</v>
      </c>
      <c r="T62" s="67">
        <f>L62*tab!I$7</f>
        <v>0</v>
      </c>
      <c r="U62" s="67">
        <f>M62*tab!J$7</f>
        <v>0</v>
      </c>
      <c r="V62" s="67">
        <f>N62*tab!K$7</f>
        <v>0</v>
      </c>
      <c r="W62" s="70"/>
      <c r="X62" s="119">
        <v>0</v>
      </c>
      <c r="Y62" s="119">
        <f t="shared" si="26"/>
        <v>0</v>
      </c>
      <c r="Z62" s="119">
        <f t="shared" si="25"/>
        <v>0</v>
      </c>
      <c r="AA62" s="119">
        <f t="shared" si="25"/>
        <v>0</v>
      </c>
      <c r="AB62" s="119">
        <f t="shared" si="25"/>
        <v>0</v>
      </c>
      <c r="AC62" s="119">
        <f t="shared" si="25"/>
        <v>0</v>
      </c>
      <c r="AD62" s="119">
        <f t="shared" si="25"/>
        <v>0</v>
      </c>
      <c r="AE62" s="70"/>
      <c r="AF62" s="67">
        <f>+H62*tab!D$8</f>
        <v>0</v>
      </c>
      <c r="AG62" s="67">
        <f>+I62*tab!E$8</f>
        <v>0</v>
      </c>
      <c r="AH62" s="67">
        <f>+J62*tab!F$8</f>
        <v>0</v>
      </c>
      <c r="AI62" s="67">
        <f>+K62*tab!G$8</f>
        <v>0</v>
      </c>
      <c r="AJ62" s="67">
        <f>+L62*tab!H$8</f>
        <v>0</v>
      </c>
      <c r="AK62" s="67">
        <f>+M62*tab!I$8</f>
        <v>0</v>
      </c>
      <c r="AL62" s="67">
        <f>+N62*tab!J$8</f>
        <v>0</v>
      </c>
      <c r="AM62" s="70"/>
      <c r="AN62" s="152">
        <v>0</v>
      </c>
      <c r="AO62" s="119">
        <f t="shared" si="27"/>
        <v>0</v>
      </c>
      <c r="AP62" s="119">
        <f t="shared" si="27"/>
        <v>0</v>
      </c>
      <c r="AQ62" s="119">
        <f t="shared" si="21"/>
        <v>0</v>
      </c>
      <c r="AR62" s="119">
        <f t="shared" si="21"/>
        <v>0</v>
      </c>
      <c r="AS62" s="119">
        <f t="shared" si="21"/>
        <v>0</v>
      </c>
      <c r="AT62" s="119">
        <f t="shared" si="21"/>
        <v>0</v>
      </c>
      <c r="AU62" s="91"/>
      <c r="AV62" s="133"/>
    </row>
    <row r="63" spans="2:48" s="112" customFormat="1" x14ac:dyDescent="0.2">
      <c r="B63" s="953"/>
      <c r="C63" s="149"/>
      <c r="D63" s="49">
        <v>49</v>
      </c>
      <c r="E63" s="150" t="s">
        <v>564</v>
      </c>
      <c r="F63" s="831" t="s">
        <v>274</v>
      </c>
      <c r="G63" s="967"/>
      <c r="H63" s="954">
        <v>0</v>
      </c>
      <c r="I63" s="118">
        <f t="shared" si="28"/>
        <v>0</v>
      </c>
      <c r="J63" s="118">
        <f t="shared" si="28"/>
        <v>0</v>
      </c>
      <c r="K63" s="118">
        <f t="shared" si="28"/>
        <v>0</v>
      </c>
      <c r="L63" s="118">
        <f t="shared" si="28"/>
        <v>0</v>
      </c>
      <c r="M63" s="118">
        <f t="shared" si="28"/>
        <v>0</v>
      </c>
      <c r="N63" s="118">
        <f t="shared" si="28"/>
        <v>0</v>
      </c>
      <c r="O63" s="70"/>
      <c r="P63" s="67">
        <f>H63*tab!E$7</f>
        <v>0</v>
      </c>
      <c r="Q63" s="67">
        <f>I63*tab!F$7</f>
        <v>0</v>
      </c>
      <c r="R63" s="67">
        <f>J63*tab!G$7</f>
        <v>0</v>
      </c>
      <c r="S63" s="67">
        <f>K63*tab!H$7</f>
        <v>0</v>
      </c>
      <c r="T63" s="67">
        <f>L63*tab!I$7</f>
        <v>0</v>
      </c>
      <c r="U63" s="67">
        <f>M63*tab!J$7</f>
        <v>0</v>
      </c>
      <c r="V63" s="67">
        <f>N63*tab!K$7</f>
        <v>0</v>
      </c>
      <c r="W63" s="70"/>
      <c r="X63" s="119">
        <v>0</v>
      </c>
      <c r="Y63" s="119">
        <f t="shared" si="26"/>
        <v>0</v>
      </c>
      <c r="Z63" s="119">
        <f t="shared" ref="Z63:AD82" si="29">Y63</f>
        <v>0</v>
      </c>
      <c r="AA63" s="119">
        <f t="shared" si="29"/>
        <v>0</v>
      </c>
      <c r="AB63" s="119">
        <f t="shared" si="29"/>
        <v>0</v>
      </c>
      <c r="AC63" s="119">
        <f t="shared" si="29"/>
        <v>0</v>
      </c>
      <c r="AD63" s="119">
        <f t="shared" si="29"/>
        <v>0</v>
      </c>
      <c r="AE63" s="70"/>
      <c r="AF63" s="67">
        <f>+H63*tab!D$8</f>
        <v>0</v>
      </c>
      <c r="AG63" s="67">
        <f>+I63*tab!E$8</f>
        <v>0</v>
      </c>
      <c r="AH63" s="67">
        <f>+J63*tab!F$8</f>
        <v>0</v>
      </c>
      <c r="AI63" s="67">
        <f>+K63*tab!G$8</f>
        <v>0</v>
      </c>
      <c r="AJ63" s="67">
        <f>+L63*tab!H$8</f>
        <v>0</v>
      </c>
      <c r="AK63" s="67">
        <f>+M63*tab!I$8</f>
        <v>0</v>
      </c>
      <c r="AL63" s="67">
        <f>+N63*tab!J$8</f>
        <v>0</v>
      </c>
      <c r="AM63" s="70"/>
      <c r="AN63" s="152">
        <v>0</v>
      </c>
      <c r="AO63" s="119">
        <f t="shared" si="27"/>
        <v>0</v>
      </c>
      <c r="AP63" s="119">
        <f t="shared" si="27"/>
        <v>0</v>
      </c>
      <c r="AQ63" s="119">
        <f t="shared" si="21"/>
        <v>0</v>
      </c>
      <c r="AR63" s="119">
        <f t="shared" si="21"/>
        <v>0</v>
      </c>
      <c r="AS63" s="119">
        <f t="shared" si="21"/>
        <v>0</v>
      </c>
      <c r="AT63" s="119">
        <f t="shared" si="21"/>
        <v>0</v>
      </c>
      <c r="AU63" s="91"/>
      <c r="AV63" s="133"/>
    </row>
    <row r="64" spans="2:48" s="112" customFormat="1" x14ac:dyDescent="0.2">
      <c r="B64" s="953"/>
      <c r="C64" s="149"/>
      <c r="D64" s="49">
        <v>50</v>
      </c>
      <c r="E64" s="150" t="s">
        <v>565</v>
      </c>
      <c r="F64" s="831" t="s">
        <v>274</v>
      </c>
      <c r="G64" s="967"/>
      <c r="H64" s="954">
        <v>0</v>
      </c>
      <c r="I64" s="118">
        <f t="shared" si="28"/>
        <v>0</v>
      </c>
      <c r="J64" s="118">
        <f t="shared" si="28"/>
        <v>0</v>
      </c>
      <c r="K64" s="118">
        <f t="shared" si="28"/>
        <v>0</v>
      </c>
      <c r="L64" s="118">
        <f t="shared" si="28"/>
        <v>0</v>
      </c>
      <c r="M64" s="118">
        <f t="shared" si="28"/>
        <v>0</v>
      </c>
      <c r="N64" s="118">
        <f t="shared" si="28"/>
        <v>0</v>
      </c>
      <c r="O64" s="70"/>
      <c r="P64" s="67">
        <f>H64*tab!E$7</f>
        <v>0</v>
      </c>
      <c r="Q64" s="67">
        <f>I64*tab!F$7</f>
        <v>0</v>
      </c>
      <c r="R64" s="67">
        <f>J64*tab!G$7</f>
        <v>0</v>
      </c>
      <c r="S64" s="67">
        <f>K64*tab!H$7</f>
        <v>0</v>
      </c>
      <c r="T64" s="67">
        <f>L64*tab!I$7</f>
        <v>0</v>
      </c>
      <c r="U64" s="67">
        <f>M64*tab!J$7</f>
        <v>0</v>
      </c>
      <c r="V64" s="67">
        <f>N64*tab!K$7</f>
        <v>0</v>
      </c>
      <c r="W64" s="70"/>
      <c r="X64" s="119">
        <v>0</v>
      </c>
      <c r="Y64" s="119">
        <f t="shared" si="26"/>
        <v>0</v>
      </c>
      <c r="Z64" s="119">
        <f t="shared" si="29"/>
        <v>0</v>
      </c>
      <c r="AA64" s="119">
        <f t="shared" si="29"/>
        <v>0</v>
      </c>
      <c r="AB64" s="119">
        <f t="shared" si="29"/>
        <v>0</v>
      </c>
      <c r="AC64" s="119">
        <f t="shared" si="29"/>
        <v>0</v>
      </c>
      <c r="AD64" s="119">
        <f t="shared" si="29"/>
        <v>0</v>
      </c>
      <c r="AE64" s="70"/>
      <c r="AF64" s="67">
        <f>+H64*tab!D$8</f>
        <v>0</v>
      </c>
      <c r="AG64" s="67">
        <f>+I64*tab!E$8</f>
        <v>0</v>
      </c>
      <c r="AH64" s="67">
        <f>+J64*tab!F$8</f>
        <v>0</v>
      </c>
      <c r="AI64" s="67">
        <f>+K64*tab!G$8</f>
        <v>0</v>
      </c>
      <c r="AJ64" s="67">
        <f>+L64*tab!H$8</f>
        <v>0</v>
      </c>
      <c r="AK64" s="67">
        <f>+M64*tab!I$8</f>
        <v>0</v>
      </c>
      <c r="AL64" s="67">
        <f>+N64*tab!J$8</f>
        <v>0</v>
      </c>
      <c r="AM64" s="70"/>
      <c r="AN64" s="152">
        <v>0</v>
      </c>
      <c r="AO64" s="119">
        <f t="shared" si="27"/>
        <v>0</v>
      </c>
      <c r="AP64" s="119">
        <f t="shared" si="27"/>
        <v>0</v>
      </c>
      <c r="AQ64" s="119">
        <f t="shared" si="21"/>
        <v>0</v>
      </c>
      <c r="AR64" s="119">
        <f t="shared" si="21"/>
        <v>0</v>
      </c>
      <c r="AS64" s="119">
        <f t="shared" si="21"/>
        <v>0</v>
      </c>
      <c r="AT64" s="119">
        <f t="shared" si="21"/>
        <v>0</v>
      </c>
      <c r="AU64" s="91"/>
      <c r="AV64" s="133"/>
    </row>
    <row r="65" spans="2:48" s="112" customFormat="1" x14ac:dyDescent="0.2">
      <c r="B65" s="953"/>
      <c r="C65" s="149"/>
      <c r="D65" s="49">
        <v>51</v>
      </c>
      <c r="E65" s="150" t="s">
        <v>566</v>
      </c>
      <c r="F65" s="831" t="s">
        <v>274</v>
      </c>
      <c r="G65" s="967"/>
      <c r="H65" s="954">
        <v>0</v>
      </c>
      <c r="I65" s="118">
        <f t="shared" si="28"/>
        <v>0</v>
      </c>
      <c r="J65" s="118">
        <f t="shared" si="28"/>
        <v>0</v>
      </c>
      <c r="K65" s="118">
        <f t="shared" si="28"/>
        <v>0</v>
      </c>
      <c r="L65" s="118">
        <f t="shared" si="28"/>
        <v>0</v>
      </c>
      <c r="M65" s="118">
        <f t="shared" si="28"/>
        <v>0</v>
      </c>
      <c r="N65" s="118">
        <f t="shared" si="28"/>
        <v>0</v>
      </c>
      <c r="O65" s="70"/>
      <c r="P65" s="67">
        <f>H65*tab!E$7</f>
        <v>0</v>
      </c>
      <c r="Q65" s="67">
        <f>I65*tab!F$7</f>
        <v>0</v>
      </c>
      <c r="R65" s="67">
        <f>J65*tab!G$7</f>
        <v>0</v>
      </c>
      <c r="S65" s="67">
        <f>K65*tab!H$7</f>
        <v>0</v>
      </c>
      <c r="T65" s="67">
        <f>L65*tab!I$7</f>
        <v>0</v>
      </c>
      <c r="U65" s="67">
        <f>M65*tab!J$7</f>
        <v>0</v>
      </c>
      <c r="V65" s="67">
        <f>N65*tab!K$7</f>
        <v>0</v>
      </c>
      <c r="W65" s="70"/>
      <c r="X65" s="119">
        <v>0</v>
      </c>
      <c r="Y65" s="119">
        <f t="shared" si="26"/>
        <v>0</v>
      </c>
      <c r="Z65" s="119">
        <f t="shared" si="29"/>
        <v>0</v>
      </c>
      <c r="AA65" s="119">
        <f t="shared" si="29"/>
        <v>0</v>
      </c>
      <c r="AB65" s="119">
        <f t="shared" si="29"/>
        <v>0</v>
      </c>
      <c r="AC65" s="119">
        <f t="shared" si="29"/>
        <v>0</v>
      </c>
      <c r="AD65" s="119">
        <f t="shared" si="29"/>
        <v>0</v>
      </c>
      <c r="AE65" s="70"/>
      <c r="AF65" s="67">
        <f>+H65*tab!D$8</f>
        <v>0</v>
      </c>
      <c r="AG65" s="67">
        <f>+I65*tab!E$8</f>
        <v>0</v>
      </c>
      <c r="AH65" s="67">
        <f>+J65*tab!F$8</f>
        <v>0</v>
      </c>
      <c r="AI65" s="67">
        <f>+K65*tab!G$8</f>
        <v>0</v>
      </c>
      <c r="AJ65" s="67">
        <f>+L65*tab!H$8</f>
        <v>0</v>
      </c>
      <c r="AK65" s="67">
        <f>+M65*tab!I$8</f>
        <v>0</v>
      </c>
      <c r="AL65" s="67">
        <f>+N65*tab!J$8</f>
        <v>0</v>
      </c>
      <c r="AM65" s="70"/>
      <c r="AN65" s="152">
        <v>0</v>
      </c>
      <c r="AO65" s="119">
        <f t="shared" si="27"/>
        <v>0</v>
      </c>
      <c r="AP65" s="119">
        <f t="shared" si="27"/>
        <v>0</v>
      </c>
      <c r="AQ65" s="119">
        <f t="shared" si="21"/>
        <v>0</v>
      </c>
      <c r="AR65" s="119">
        <f t="shared" si="21"/>
        <v>0</v>
      </c>
      <c r="AS65" s="119">
        <f t="shared" si="21"/>
        <v>0</v>
      </c>
      <c r="AT65" s="119">
        <f t="shared" si="21"/>
        <v>0</v>
      </c>
      <c r="AU65" s="91"/>
      <c r="AV65" s="133"/>
    </row>
    <row r="66" spans="2:48" s="112" customFormat="1" x14ac:dyDescent="0.2">
      <c r="B66" s="953"/>
      <c r="C66" s="149"/>
      <c r="D66" s="49">
        <v>52</v>
      </c>
      <c r="E66" s="150" t="s">
        <v>567</v>
      </c>
      <c r="F66" s="831" t="s">
        <v>274</v>
      </c>
      <c r="G66" s="967"/>
      <c r="H66" s="954">
        <v>0</v>
      </c>
      <c r="I66" s="118">
        <f t="shared" si="28"/>
        <v>0</v>
      </c>
      <c r="J66" s="118">
        <f t="shared" si="28"/>
        <v>0</v>
      </c>
      <c r="K66" s="118">
        <f t="shared" si="28"/>
        <v>0</v>
      </c>
      <c r="L66" s="118">
        <f t="shared" si="28"/>
        <v>0</v>
      </c>
      <c r="M66" s="118">
        <f t="shared" si="28"/>
        <v>0</v>
      </c>
      <c r="N66" s="118">
        <f t="shared" si="28"/>
        <v>0</v>
      </c>
      <c r="O66" s="70"/>
      <c r="P66" s="67">
        <f>H66*tab!E$7</f>
        <v>0</v>
      </c>
      <c r="Q66" s="67">
        <f>I66*tab!F$7</f>
        <v>0</v>
      </c>
      <c r="R66" s="67">
        <f>J66*tab!G$7</f>
        <v>0</v>
      </c>
      <c r="S66" s="67">
        <f>K66*tab!H$7</f>
        <v>0</v>
      </c>
      <c r="T66" s="67">
        <f>L66*tab!I$7</f>
        <v>0</v>
      </c>
      <c r="U66" s="67">
        <f>M66*tab!J$7</f>
        <v>0</v>
      </c>
      <c r="V66" s="67">
        <f>N66*tab!K$7</f>
        <v>0</v>
      </c>
      <c r="W66" s="70"/>
      <c r="X66" s="119">
        <v>0</v>
      </c>
      <c r="Y66" s="119">
        <f t="shared" si="26"/>
        <v>0</v>
      </c>
      <c r="Z66" s="119">
        <f t="shared" si="29"/>
        <v>0</v>
      </c>
      <c r="AA66" s="119">
        <f t="shared" si="29"/>
        <v>0</v>
      </c>
      <c r="AB66" s="119">
        <f t="shared" si="29"/>
        <v>0</v>
      </c>
      <c r="AC66" s="119">
        <f t="shared" si="29"/>
        <v>0</v>
      </c>
      <c r="AD66" s="119">
        <f t="shared" si="29"/>
        <v>0</v>
      </c>
      <c r="AE66" s="70"/>
      <c r="AF66" s="67">
        <f>+H66*tab!D$8</f>
        <v>0</v>
      </c>
      <c r="AG66" s="67">
        <f>+I66*tab!E$8</f>
        <v>0</v>
      </c>
      <c r="AH66" s="67">
        <f>+J66*tab!F$8</f>
        <v>0</v>
      </c>
      <c r="AI66" s="67">
        <f>+K66*tab!G$8</f>
        <v>0</v>
      </c>
      <c r="AJ66" s="67">
        <f>+L66*tab!H$8</f>
        <v>0</v>
      </c>
      <c r="AK66" s="67">
        <f>+M66*tab!I$8</f>
        <v>0</v>
      </c>
      <c r="AL66" s="67">
        <f>+N66*tab!J$8</f>
        <v>0</v>
      </c>
      <c r="AM66" s="70"/>
      <c r="AN66" s="152">
        <v>0</v>
      </c>
      <c r="AO66" s="119">
        <f t="shared" si="27"/>
        <v>0</v>
      </c>
      <c r="AP66" s="119">
        <f t="shared" si="27"/>
        <v>0</v>
      </c>
      <c r="AQ66" s="119">
        <f t="shared" si="21"/>
        <v>0</v>
      </c>
      <c r="AR66" s="119">
        <f t="shared" si="21"/>
        <v>0</v>
      </c>
      <c r="AS66" s="119">
        <f t="shared" si="21"/>
        <v>0</v>
      </c>
      <c r="AT66" s="119">
        <f t="shared" si="21"/>
        <v>0</v>
      </c>
      <c r="AU66" s="91"/>
      <c r="AV66" s="133"/>
    </row>
    <row r="67" spans="2:48" s="112" customFormat="1" x14ac:dyDescent="0.2">
      <c r="B67" s="953"/>
      <c r="C67" s="149"/>
      <c r="D67" s="49">
        <v>53</v>
      </c>
      <c r="E67" s="150" t="s">
        <v>568</v>
      </c>
      <c r="F67" s="831" t="s">
        <v>274</v>
      </c>
      <c r="G67" s="967"/>
      <c r="H67" s="954">
        <v>0</v>
      </c>
      <c r="I67" s="118">
        <f t="shared" si="28"/>
        <v>0</v>
      </c>
      <c r="J67" s="118">
        <f t="shared" si="28"/>
        <v>0</v>
      </c>
      <c r="K67" s="118">
        <f t="shared" si="28"/>
        <v>0</v>
      </c>
      <c r="L67" s="118">
        <f t="shared" si="28"/>
        <v>0</v>
      </c>
      <c r="M67" s="118">
        <f t="shared" si="28"/>
        <v>0</v>
      </c>
      <c r="N67" s="118">
        <f t="shared" si="28"/>
        <v>0</v>
      </c>
      <c r="O67" s="70"/>
      <c r="P67" s="67">
        <f>H67*tab!E$7</f>
        <v>0</v>
      </c>
      <c r="Q67" s="67">
        <f>I67*tab!F$7</f>
        <v>0</v>
      </c>
      <c r="R67" s="67">
        <f>J67*tab!G$7</f>
        <v>0</v>
      </c>
      <c r="S67" s="67">
        <f>K67*tab!H$7</f>
        <v>0</v>
      </c>
      <c r="T67" s="67">
        <f>L67*tab!I$7</f>
        <v>0</v>
      </c>
      <c r="U67" s="67">
        <f>M67*tab!J$7</f>
        <v>0</v>
      </c>
      <c r="V67" s="67">
        <f>N67*tab!K$7</f>
        <v>0</v>
      </c>
      <c r="W67" s="70"/>
      <c r="X67" s="119">
        <v>0</v>
      </c>
      <c r="Y67" s="119">
        <f t="shared" si="26"/>
        <v>0</v>
      </c>
      <c r="Z67" s="119">
        <f t="shared" si="29"/>
        <v>0</v>
      </c>
      <c r="AA67" s="119">
        <f t="shared" si="29"/>
        <v>0</v>
      </c>
      <c r="AB67" s="119">
        <f t="shared" si="29"/>
        <v>0</v>
      </c>
      <c r="AC67" s="119">
        <f t="shared" si="29"/>
        <v>0</v>
      </c>
      <c r="AD67" s="119">
        <f t="shared" si="29"/>
        <v>0</v>
      </c>
      <c r="AE67" s="70"/>
      <c r="AF67" s="67">
        <f>+H67*tab!D$8</f>
        <v>0</v>
      </c>
      <c r="AG67" s="67">
        <f>+I67*tab!E$8</f>
        <v>0</v>
      </c>
      <c r="AH67" s="67">
        <f>+J67*tab!F$8</f>
        <v>0</v>
      </c>
      <c r="AI67" s="67">
        <f>+K67*tab!G$8</f>
        <v>0</v>
      </c>
      <c r="AJ67" s="67">
        <f>+L67*tab!H$8</f>
        <v>0</v>
      </c>
      <c r="AK67" s="67">
        <f>+M67*tab!I$8</f>
        <v>0</v>
      </c>
      <c r="AL67" s="67">
        <f>+N67*tab!J$8</f>
        <v>0</v>
      </c>
      <c r="AM67" s="70"/>
      <c r="AN67" s="152">
        <v>0</v>
      </c>
      <c r="AO67" s="119">
        <f t="shared" si="27"/>
        <v>0</v>
      </c>
      <c r="AP67" s="119">
        <f t="shared" si="27"/>
        <v>0</v>
      </c>
      <c r="AQ67" s="119">
        <f t="shared" si="21"/>
        <v>0</v>
      </c>
      <c r="AR67" s="119">
        <f t="shared" si="21"/>
        <v>0</v>
      </c>
      <c r="AS67" s="119">
        <f t="shared" si="21"/>
        <v>0</v>
      </c>
      <c r="AT67" s="119">
        <f t="shared" si="21"/>
        <v>0</v>
      </c>
      <c r="AU67" s="91"/>
      <c r="AV67" s="133"/>
    </row>
    <row r="68" spans="2:48" s="112" customFormat="1" x14ac:dyDescent="0.2">
      <c r="B68" s="953"/>
      <c r="C68" s="149"/>
      <c r="D68" s="49">
        <v>54</v>
      </c>
      <c r="E68" s="150" t="s">
        <v>569</v>
      </c>
      <c r="F68" s="831" t="s">
        <v>274</v>
      </c>
      <c r="G68" s="967"/>
      <c r="H68" s="954">
        <v>0</v>
      </c>
      <c r="I68" s="118">
        <f t="shared" si="28"/>
        <v>0</v>
      </c>
      <c r="J68" s="118">
        <f t="shared" si="28"/>
        <v>0</v>
      </c>
      <c r="K68" s="118">
        <f t="shared" si="28"/>
        <v>0</v>
      </c>
      <c r="L68" s="118">
        <f t="shared" si="28"/>
        <v>0</v>
      </c>
      <c r="M68" s="118">
        <f t="shared" si="28"/>
        <v>0</v>
      </c>
      <c r="N68" s="118">
        <f t="shared" si="28"/>
        <v>0</v>
      </c>
      <c r="O68" s="70"/>
      <c r="P68" s="67">
        <f>H68*tab!E$7</f>
        <v>0</v>
      </c>
      <c r="Q68" s="67">
        <f>I68*tab!F$7</f>
        <v>0</v>
      </c>
      <c r="R68" s="67">
        <f>J68*tab!G$7</f>
        <v>0</v>
      </c>
      <c r="S68" s="67">
        <f>K68*tab!H$7</f>
        <v>0</v>
      </c>
      <c r="T68" s="67">
        <f>L68*tab!I$7</f>
        <v>0</v>
      </c>
      <c r="U68" s="67">
        <f>M68*tab!J$7</f>
        <v>0</v>
      </c>
      <c r="V68" s="67">
        <f>N68*tab!K$7</f>
        <v>0</v>
      </c>
      <c r="W68" s="70"/>
      <c r="X68" s="119">
        <v>0</v>
      </c>
      <c r="Y68" s="119">
        <f t="shared" si="26"/>
        <v>0</v>
      </c>
      <c r="Z68" s="119">
        <f t="shared" si="29"/>
        <v>0</v>
      </c>
      <c r="AA68" s="119">
        <f t="shared" si="29"/>
        <v>0</v>
      </c>
      <c r="AB68" s="119">
        <f t="shared" si="29"/>
        <v>0</v>
      </c>
      <c r="AC68" s="119">
        <f t="shared" si="29"/>
        <v>0</v>
      </c>
      <c r="AD68" s="119">
        <f t="shared" si="29"/>
        <v>0</v>
      </c>
      <c r="AE68" s="70"/>
      <c r="AF68" s="67">
        <f>+H68*tab!D$8</f>
        <v>0</v>
      </c>
      <c r="AG68" s="67">
        <f>+I68*tab!E$8</f>
        <v>0</v>
      </c>
      <c r="AH68" s="67">
        <f>+J68*tab!F$8</f>
        <v>0</v>
      </c>
      <c r="AI68" s="67">
        <f>+K68*tab!G$8</f>
        <v>0</v>
      </c>
      <c r="AJ68" s="67">
        <f>+L68*tab!H$8</f>
        <v>0</v>
      </c>
      <c r="AK68" s="67">
        <f>+M68*tab!I$8</f>
        <v>0</v>
      </c>
      <c r="AL68" s="67">
        <f>+N68*tab!J$8</f>
        <v>0</v>
      </c>
      <c r="AM68" s="70"/>
      <c r="AN68" s="152">
        <v>0</v>
      </c>
      <c r="AO68" s="119">
        <f t="shared" ref="AO68:AP87" si="30">AN68</f>
        <v>0</v>
      </c>
      <c r="AP68" s="119">
        <f t="shared" si="30"/>
        <v>0</v>
      </c>
      <c r="AQ68" s="119">
        <f t="shared" si="21"/>
        <v>0</v>
      </c>
      <c r="AR68" s="119">
        <f t="shared" si="21"/>
        <v>0</v>
      </c>
      <c r="AS68" s="119">
        <f t="shared" si="21"/>
        <v>0</v>
      </c>
      <c r="AT68" s="119">
        <f t="shared" si="21"/>
        <v>0</v>
      </c>
      <c r="AU68" s="91"/>
      <c r="AV68" s="133"/>
    </row>
    <row r="69" spans="2:48" s="112" customFormat="1" x14ac:dyDescent="0.2">
      <c r="B69" s="953"/>
      <c r="C69" s="149"/>
      <c r="D69" s="49">
        <v>55</v>
      </c>
      <c r="E69" s="150" t="s">
        <v>570</v>
      </c>
      <c r="F69" s="831" t="s">
        <v>274</v>
      </c>
      <c r="G69" s="967"/>
      <c r="H69" s="954">
        <v>0</v>
      </c>
      <c r="I69" s="118">
        <f t="shared" si="28"/>
        <v>0</v>
      </c>
      <c r="J69" s="118">
        <f t="shared" si="28"/>
        <v>0</v>
      </c>
      <c r="K69" s="118">
        <f t="shared" si="28"/>
        <v>0</v>
      </c>
      <c r="L69" s="118">
        <f t="shared" si="28"/>
        <v>0</v>
      </c>
      <c r="M69" s="118">
        <f t="shared" si="28"/>
        <v>0</v>
      </c>
      <c r="N69" s="118">
        <f t="shared" si="28"/>
        <v>0</v>
      </c>
      <c r="O69" s="70"/>
      <c r="P69" s="67">
        <f>H69*tab!E$7</f>
        <v>0</v>
      </c>
      <c r="Q69" s="67">
        <f>I69*tab!F$7</f>
        <v>0</v>
      </c>
      <c r="R69" s="67">
        <f>J69*tab!G$7</f>
        <v>0</v>
      </c>
      <c r="S69" s="67">
        <f>K69*tab!H$7</f>
        <v>0</v>
      </c>
      <c r="T69" s="67">
        <f>L69*tab!I$7</f>
        <v>0</v>
      </c>
      <c r="U69" s="67">
        <f>M69*tab!J$7</f>
        <v>0</v>
      </c>
      <c r="V69" s="67">
        <f>N69*tab!K$7</f>
        <v>0</v>
      </c>
      <c r="W69" s="70"/>
      <c r="X69" s="119">
        <v>0</v>
      </c>
      <c r="Y69" s="119">
        <f t="shared" si="26"/>
        <v>0</v>
      </c>
      <c r="Z69" s="119">
        <f t="shared" si="29"/>
        <v>0</v>
      </c>
      <c r="AA69" s="119">
        <f t="shared" si="29"/>
        <v>0</v>
      </c>
      <c r="AB69" s="119">
        <f t="shared" si="29"/>
        <v>0</v>
      </c>
      <c r="AC69" s="119">
        <f t="shared" si="29"/>
        <v>0</v>
      </c>
      <c r="AD69" s="119">
        <f t="shared" si="29"/>
        <v>0</v>
      </c>
      <c r="AE69" s="70"/>
      <c r="AF69" s="67">
        <f>+H69*tab!D$8</f>
        <v>0</v>
      </c>
      <c r="AG69" s="67">
        <f>+I69*tab!E$8</f>
        <v>0</v>
      </c>
      <c r="AH69" s="67">
        <f>+J69*tab!F$8</f>
        <v>0</v>
      </c>
      <c r="AI69" s="67">
        <f>+K69*tab!G$8</f>
        <v>0</v>
      </c>
      <c r="AJ69" s="67">
        <f>+L69*tab!H$8</f>
        <v>0</v>
      </c>
      <c r="AK69" s="67">
        <f>+M69*tab!I$8</f>
        <v>0</v>
      </c>
      <c r="AL69" s="67">
        <f>+N69*tab!J$8</f>
        <v>0</v>
      </c>
      <c r="AM69" s="70"/>
      <c r="AN69" s="152">
        <v>0</v>
      </c>
      <c r="AO69" s="119">
        <f t="shared" si="30"/>
        <v>0</v>
      </c>
      <c r="AP69" s="119">
        <f t="shared" si="30"/>
        <v>0</v>
      </c>
      <c r="AQ69" s="119">
        <f t="shared" si="21"/>
        <v>0</v>
      </c>
      <c r="AR69" s="119">
        <f t="shared" si="21"/>
        <v>0</v>
      </c>
      <c r="AS69" s="119">
        <f t="shared" si="21"/>
        <v>0</v>
      </c>
      <c r="AT69" s="119">
        <f t="shared" si="21"/>
        <v>0</v>
      </c>
      <c r="AU69" s="91"/>
      <c r="AV69" s="133"/>
    </row>
    <row r="70" spans="2:48" s="112" customFormat="1" x14ac:dyDescent="0.2">
      <c r="B70" s="953"/>
      <c r="C70" s="149"/>
      <c r="D70" s="49">
        <v>56</v>
      </c>
      <c r="E70" s="150" t="s">
        <v>571</v>
      </c>
      <c r="F70" s="831" t="s">
        <v>274</v>
      </c>
      <c r="G70" s="967"/>
      <c r="H70" s="954">
        <v>0</v>
      </c>
      <c r="I70" s="118">
        <f t="shared" si="28"/>
        <v>0</v>
      </c>
      <c r="J70" s="118">
        <f t="shared" si="28"/>
        <v>0</v>
      </c>
      <c r="K70" s="118">
        <f t="shared" si="28"/>
        <v>0</v>
      </c>
      <c r="L70" s="118">
        <f t="shared" si="28"/>
        <v>0</v>
      </c>
      <c r="M70" s="118">
        <f t="shared" si="28"/>
        <v>0</v>
      </c>
      <c r="N70" s="118">
        <f t="shared" si="28"/>
        <v>0</v>
      </c>
      <c r="O70" s="70"/>
      <c r="P70" s="67">
        <f>H70*tab!E$7</f>
        <v>0</v>
      </c>
      <c r="Q70" s="67">
        <f>I70*tab!F$7</f>
        <v>0</v>
      </c>
      <c r="R70" s="67">
        <f>J70*tab!G$7</f>
        <v>0</v>
      </c>
      <c r="S70" s="67">
        <f>K70*tab!H$7</f>
        <v>0</v>
      </c>
      <c r="T70" s="67">
        <f>L70*tab!I$7</f>
        <v>0</v>
      </c>
      <c r="U70" s="67">
        <f>M70*tab!J$7</f>
        <v>0</v>
      </c>
      <c r="V70" s="67">
        <f>N70*tab!K$7</f>
        <v>0</v>
      </c>
      <c r="W70" s="70"/>
      <c r="X70" s="119">
        <v>0</v>
      </c>
      <c r="Y70" s="119">
        <f t="shared" si="26"/>
        <v>0</v>
      </c>
      <c r="Z70" s="119">
        <f t="shared" si="29"/>
        <v>0</v>
      </c>
      <c r="AA70" s="119">
        <f t="shared" si="29"/>
        <v>0</v>
      </c>
      <c r="AB70" s="119">
        <f t="shared" si="29"/>
        <v>0</v>
      </c>
      <c r="AC70" s="119">
        <f t="shared" si="29"/>
        <v>0</v>
      </c>
      <c r="AD70" s="119">
        <f t="shared" si="29"/>
        <v>0</v>
      </c>
      <c r="AE70" s="70"/>
      <c r="AF70" s="67">
        <f>+H70*tab!D$8</f>
        <v>0</v>
      </c>
      <c r="AG70" s="67">
        <f>+I70*tab!E$8</f>
        <v>0</v>
      </c>
      <c r="AH70" s="67">
        <f>+J70*tab!F$8</f>
        <v>0</v>
      </c>
      <c r="AI70" s="67">
        <f>+K70*tab!G$8</f>
        <v>0</v>
      </c>
      <c r="AJ70" s="67">
        <f>+L70*tab!H$8</f>
        <v>0</v>
      </c>
      <c r="AK70" s="67">
        <f>+M70*tab!I$8</f>
        <v>0</v>
      </c>
      <c r="AL70" s="67">
        <f>+N70*tab!J$8</f>
        <v>0</v>
      </c>
      <c r="AM70" s="70"/>
      <c r="AN70" s="152">
        <v>0</v>
      </c>
      <c r="AO70" s="119">
        <f t="shared" si="30"/>
        <v>0</v>
      </c>
      <c r="AP70" s="119">
        <f t="shared" si="30"/>
        <v>0</v>
      </c>
      <c r="AQ70" s="119">
        <f t="shared" si="21"/>
        <v>0</v>
      </c>
      <c r="AR70" s="119">
        <f t="shared" si="21"/>
        <v>0</v>
      </c>
      <c r="AS70" s="119">
        <f t="shared" si="21"/>
        <v>0</v>
      </c>
      <c r="AT70" s="119">
        <f t="shared" si="21"/>
        <v>0</v>
      </c>
      <c r="AU70" s="91"/>
      <c r="AV70" s="133"/>
    </row>
    <row r="71" spans="2:48" s="112" customFormat="1" x14ac:dyDescent="0.2">
      <c r="B71" s="953"/>
      <c r="C71" s="149"/>
      <c r="D71" s="49">
        <v>57</v>
      </c>
      <c r="E71" s="150" t="s">
        <v>572</v>
      </c>
      <c r="F71" s="831" t="s">
        <v>274</v>
      </c>
      <c r="G71" s="967"/>
      <c r="H71" s="954">
        <v>0</v>
      </c>
      <c r="I71" s="118">
        <f t="shared" si="28"/>
        <v>0</v>
      </c>
      <c r="J71" s="118">
        <f t="shared" si="28"/>
        <v>0</v>
      </c>
      <c r="K71" s="118">
        <f t="shared" si="28"/>
        <v>0</v>
      </c>
      <c r="L71" s="118">
        <f t="shared" si="28"/>
        <v>0</v>
      </c>
      <c r="M71" s="118">
        <f t="shared" si="28"/>
        <v>0</v>
      </c>
      <c r="N71" s="118">
        <f t="shared" si="28"/>
        <v>0</v>
      </c>
      <c r="O71" s="70"/>
      <c r="P71" s="67">
        <f>H71*tab!E$7</f>
        <v>0</v>
      </c>
      <c r="Q71" s="67">
        <f>I71*tab!F$7</f>
        <v>0</v>
      </c>
      <c r="R71" s="67">
        <f>J71*tab!G$7</f>
        <v>0</v>
      </c>
      <c r="S71" s="67">
        <f>K71*tab!H$7</f>
        <v>0</v>
      </c>
      <c r="T71" s="67">
        <f>L71*tab!I$7</f>
        <v>0</v>
      </c>
      <c r="U71" s="67">
        <f>M71*tab!J$7</f>
        <v>0</v>
      </c>
      <c r="V71" s="67">
        <f>N71*tab!K$7</f>
        <v>0</v>
      </c>
      <c r="W71" s="70"/>
      <c r="X71" s="119">
        <v>0</v>
      </c>
      <c r="Y71" s="119">
        <f t="shared" si="26"/>
        <v>0</v>
      </c>
      <c r="Z71" s="119">
        <f t="shared" si="29"/>
        <v>0</v>
      </c>
      <c r="AA71" s="119">
        <f t="shared" si="29"/>
        <v>0</v>
      </c>
      <c r="AB71" s="119">
        <f t="shared" si="29"/>
        <v>0</v>
      </c>
      <c r="AC71" s="119">
        <f t="shared" si="29"/>
        <v>0</v>
      </c>
      <c r="AD71" s="119">
        <f t="shared" si="29"/>
        <v>0</v>
      </c>
      <c r="AE71" s="70"/>
      <c r="AF71" s="67">
        <f>+H71*tab!D$8</f>
        <v>0</v>
      </c>
      <c r="AG71" s="67">
        <f>+I71*tab!E$8</f>
        <v>0</v>
      </c>
      <c r="AH71" s="67">
        <f>+J71*tab!F$8</f>
        <v>0</v>
      </c>
      <c r="AI71" s="67">
        <f>+K71*tab!G$8</f>
        <v>0</v>
      </c>
      <c r="AJ71" s="67">
        <f>+L71*tab!H$8</f>
        <v>0</v>
      </c>
      <c r="AK71" s="67">
        <f>+M71*tab!I$8</f>
        <v>0</v>
      </c>
      <c r="AL71" s="67">
        <f>+N71*tab!J$8</f>
        <v>0</v>
      </c>
      <c r="AM71" s="70"/>
      <c r="AN71" s="152">
        <v>0</v>
      </c>
      <c r="AO71" s="119">
        <f t="shared" si="30"/>
        <v>0</v>
      </c>
      <c r="AP71" s="119">
        <f t="shared" si="30"/>
        <v>0</v>
      </c>
      <c r="AQ71" s="119">
        <f t="shared" si="21"/>
        <v>0</v>
      </c>
      <c r="AR71" s="119">
        <f t="shared" si="21"/>
        <v>0</v>
      </c>
      <c r="AS71" s="119">
        <f t="shared" si="21"/>
        <v>0</v>
      </c>
      <c r="AT71" s="119">
        <f t="shared" si="21"/>
        <v>0</v>
      </c>
      <c r="AU71" s="91"/>
      <c r="AV71" s="133"/>
    </row>
    <row r="72" spans="2:48" s="112" customFormat="1" x14ac:dyDescent="0.2">
      <c r="B72" s="953"/>
      <c r="C72" s="149"/>
      <c r="D72" s="49">
        <v>58</v>
      </c>
      <c r="E72" s="150" t="s">
        <v>573</v>
      </c>
      <c r="F72" s="831" t="s">
        <v>274</v>
      </c>
      <c r="G72" s="967"/>
      <c r="H72" s="954">
        <v>0</v>
      </c>
      <c r="I72" s="118">
        <f t="shared" si="28"/>
        <v>0</v>
      </c>
      <c r="J72" s="118">
        <f t="shared" si="28"/>
        <v>0</v>
      </c>
      <c r="K72" s="118">
        <f t="shared" si="28"/>
        <v>0</v>
      </c>
      <c r="L72" s="118">
        <f t="shared" si="28"/>
        <v>0</v>
      </c>
      <c r="M72" s="118">
        <f t="shared" si="28"/>
        <v>0</v>
      </c>
      <c r="N72" s="118">
        <f t="shared" si="28"/>
        <v>0</v>
      </c>
      <c r="O72" s="70"/>
      <c r="P72" s="67">
        <f>H72*tab!E$7</f>
        <v>0</v>
      </c>
      <c r="Q72" s="67">
        <f>I72*tab!F$7</f>
        <v>0</v>
      </c>
      <c r="R72" s="67">
        <f>J72*tab!G$7</f>
        <v>0</v>
      </c>
      <c r="S72" s="67">
        <f>K72*tab!H$7</f>
        <v>0</v>
      </c>
      <c r="T72" s="67">
        <f>L72*tab!I$7</f>
        <v>0</v>
      </c>
      <c r="U72" s="67">
        <f>M72*tab!J$7</f>
        <v>0</v>
      </c>
      <c r="V72" s="67">
        <f>N72*tab!K$7</f>
        <v>0</v>
      </c>
      <c r="W72" s="70"/>
      <c r="X72" s="119">
        <v>0</v>
      </c>
      <c r="Y72" s="119">
        <f t="shared" si="26"/>
        <v>0</v>
      </c>
      <c r="Z72" s="119">
        <f t="shared" si="29"/>
        <v>0</v>
      </c>
      <c r="AA72" s="119">
        <f t="shared" si="29"/>
        <v>0</v>
      </c>
      <c r="AB72" s="119">
        <f t="shared" si="29"/>
        <v>0</v>
      </c>
      <c r="AC72" s="119">
        <f t="shared" si="29"/>
        <v>0</v>
      </c>
      <c r="AD72" s="119">
        <f t="shared" si="29"/>
        <v>0</v>
      </c>
      <c r="AE72" s="70"/>
      <c r="AF72" s="67">
        <f>+H72*tab!D$8</f>
        <v>0</v>
      </c>
      <c r="AG72" s="67">
        <f>+I72*tab!E$8</f>
        <v>0</v>
      </c>
      <c r="AH72" s="67">
        <f>+J72*tab!F$8</f>
        <v>0</v>
      </c>
      <c r="AI72" s="67">
        <f>+K72*tab!G$8</f>
        <v>0</v>
      </c>
      <c r="AJ72" s="67">
        <f>+L72*tab!H$8</f>
        <v>0</v>
      </c>
      <c r="AK72" s="67">
        <f>+M72*tab!I$8</f>
        <v>0</v>
      </c>
      <c r="AL72" s="67">
        <f>+N72*tab!J$8</f>
        <v>0</v>
      </c>
      <c r="AM72" s="70"/>
      <c r="AN72" s="152">
        <v>0</v>
      </c>
      <c r="AO72" s="119">
        <f t="shared" si="30"/>
        <v>0</v>
      </c>
      <c r="AP72" s="119">
        <f t="shared" si="30"/>
        <v>0</v>
      </c>
      <c r="AQ72" s="119">
        <f t="shared" si="21"/>
        <v>0</v>
      </c>
      <c r="AR72" s="119">
        <f t="shared" si="21"/>
        <v>0</v>
      </c>
      <c r="AS72" s="119">
        <f t="shared" si="21"/>
        <v>0</v>
      </c>
      <c r="AT72" s="119">
        <f t="shared" si="21"/>
        <v>0</v>
      </c>
      <c r="AU72" s="91"/>
      <c r="AV72" s="133"/>
    </row>
    <row r="73" spans="2:48" s="112" customFormat="1" x14ac:dyDescent="0.2">
      <c r="B73" s="953"/>
      <c r="C73" s="149"/>
      <c r="D73" s="49">
        <v>59</v>
      </c>
      <c r="E73" s="150" t="s">
        <v>574</v>
      </c>
      <c r="F73" s="831" t="s">
        <v>274</v>
      </c>
      <c r="G73" s="967"/>
      <c r="H73" s="954">
        <v>0</v>
      </c>
      <c r="I73" s="118">
        <f t="shared" si="28"/>
        <v>0</v>
      </c>
      <c r="J73" s="118">
        <f t="shared" si="28"/>
        <v>0</v>
      </c>
      <c r="K73" s="118">
        <f t="shared" si="28"/>
        <v>0</v>
      </c>
      <c r="L73" s="118">
        <f t="shared" si="28"/>
        <v>0</v>
      </c>
      <c r="M73" s="118">
        <f t="shared" si="28"/>
        <v>0</v>
      </c>
      <c r="N73" s="118">
        <f t="shared" si="28"/>
        <v>0</v>
      </c>
      <c r="O73" s="70"/>
      <c r="P73" s="67">
        <f>H73*tab!E$7</f>
        <v>0</v>
      </c>
      <c r="Q73" s="67">
        <f>I73*tab!F$7</f>
        <v>0</v>
      </c>
      <c r="R73" s="67">
        <f>J73*tab!G$7</f>
        <v>0</v>
      </c>
      <c r="S73" s="67">
        <f>K73*tab!H$7</f>
        <v>0</v>
      </c>
      <c r="T73" s="67">
        <f>L73*tab!I$7</f>
        <v>0</v>
      </c>
      <c r="U73" s="67">
        <f>M73*tab!J$7</f>
        <v>0</v>
      </c>
      <c r="V73" s="67">
        <f>N73*tab!K$7</f>
        <v>0</v>
      </c>
      <c r="W73" s="70"/>
      <c r="X73" s="119">
        <v>0</v>
      </c>
      <c r="Y73" s="119">
        <f t="shared" si="26"/>
        <v>0</v>
      </c>
      <c r="Z73" s="119">
        <f t="shared" si="29"/>
        <v>0</v>
      </c>
      <c r="AA73" s="119">
        <f t="shared" si="29"/>
        <v>0</v>
      </c>
      <c r="AB73" s="119">
        <f t="shared" si="29"/>
        <v>0</v>
      </c>
      <c r="AC73" s="119">
        <f t="shared" si="29"/>
        <v>0</v>
      </c>
      <c r="AD73" s="119">
        <f t="shared" si="29"/>
        <v>0</v>
      </c>
      <c r="AE73" s="70"/>
      <c r="AF73" s="67">
        <f>+H73*tab!D$8</f>
        <v>0</v>
      </c>
      <c r="AG73" s="67">
        <f>+I73*tab!E$8</f>
        <v>0</v>
      </c>
      <c r="AH73" s="67">
        <f>+J73*tab!F$8</f>
        <v>0</v>
      </c>
      <c r="AI73" s="67">
        <f>+K73*tab!G$8</f>
        <v>0</v>
      </c>
      <c r="AJ73" s="67">
        <f>+L73*tab!H$8</f>
        <v>0</v>
      </c>
      <c r="AK73" s="67">
        <f>+M73*tab!I$8</f>
        <v>0</v>
      </c>
      <c r="AL73" s="67">
        <f>+N73*tab!J$8</f>
        <v>0</v>
      </c>
      <c r="AM73" s="70"/>
      <c r="AN73" s="152">
        <v>0</v>
      </c>
      <c r="AO73" s="119">
        <f t="shared" si="30"/>
        <v>0</v>
      </c>
      <c r="AP73" s="119">
        <f t="shared" si="30"/>
        <v>0</v>
      </c>
      <c r="AQ73" s="119">
        <f t="shared" si="21"/>
        <v>0</v>
      </c>
      <c r="AR73" s="119">
        <f t="shared" si="21"/>
        <v>0</v>
      </c>
      <c r="AS73" s="119">
        <f t="shared" si="21"/>
        <v>0</v>
      </c>
      <c r="AT73" s="119">
        <f t="shared" si="21"/>
        <v>0</v>
      </c>
      <c r="AU73" s="91"/>
      <c r="AV73" s="133"/>
    </row>
    <row r="74" spans="2:48" s="112" customFormat="1" x14ac:dyDescent="0.2">
      <c r="B74" s="953"/>
      <c r="C74" s="149"/>
      <c r="D74" s="49">
        <v>60</v>
      </c>
      <c r="E74" s="150" t="s">
        <v>575</v>
      </c>
      <c r="F74" s="831" t="s">
        <v>274</v>
      </c>
      <c r="G74" s="967"/>
      <c r="H74" s="954">
        <v>0</v>
      </c>
      <c r="I74" s="118">
        <f t="shared" si="28"/>
        <v>0</v>
      </c>
      <c r="J74" s="118">
        <f t="shared" si="28"/>
        <v>0</v>
      </c>
      <c r="K74" s="118">
        <f t="shared" si="28"/>
        <v>0</v>
      </c>
      <c r="L74" s="118">
        <f t="shared" si="28"/>
        <v>0</v>
      </c>
      <c r="M74" s="118">
        <f t="shared" si="28"/>
        <v>0</v>
      </c>
      <c r="N74" s="118">
        <f t="shared" si="28"/>
        <v>0</v>
      </c>
      <c r="O74" s="70"/>
      <c r="P74" s="67">
        <f>H74*tab!E$7</f>
        <v>0</v>
      </c>
      <c r="Q74" s="67">
        <f>I74*tab!F$7</f>
        <v>0</v>
      </c>
      <c r="R74" s="67">
        <f>J74*tab!G$7</f>
        <v>0</v>
      </c>
      <c r="S74" s="67">
        <f>K74*tab!H$7</f>
        <v>0</v>
      </c>
      <c r="T74" s="67">
        <f>L74*tab!I$7</f>
        <v>0</v>
      </c>
      <c r="U74" s="67">
        <f>M74*tab!J$7</f>
        <v>0</v>
      </c>
      <c r="V74" s="67">
        <f>N74*tab!K$7</f>
        <v>0</v>
      </c>
      <c r="W74" s="70"/>
      <c r="X74" s="119">
        <v>0</v>
      </c>
      <c r="Y74" s="119">
        <f t="shared" si="26"/>
        <v>0</v>
      </c>
      <c r="Z74" s="119">
        <f t="shared" si="29"/>
        <v>0</v>
      </c>
      <c r="AA74" s="119">
        <f t="shared" si="29"/>
        <v>0</v>
      </c>
      <c r="AB74" s="119">
        <f t="shared" si="29"/>
        <v>0</v>
      </c>
      <c r="AC74" s="119">
        <f t="shared" si="29"/>
        <v>0</v>
      </c>
      <c r="AD74" s="119">
        <f t="shared" si="29"/>
        <v>0</v>
      </c>
      <c r="AE74" s="70"/>
      <c r="AF74" s="67">
        <f>+H74*tab!D$8</f>
        <v>0</v>
      </c>
      <c r="AG74" s="67">
        <f>+I74*tab!E$8</f>
        <v>0</v>
      </c>
      <c r="AH74" s="67">
        <f>+J74*tab!F$8</f>
        <v>0</v>
      </c>
      <c r="AI74" s="67">
        <f>+K74*tab!G$8</f>
        <v>0</v>
      </c>
      <c r="AJ74" s="67">
        <f>+L74*tab!H$8</f>
        <v>0</v>
      </c>
      <c r="AK74" s="67">
        <f>+M74*tab!I$8</f>
        <v>0</v>
      </c>
      <c r="AL74" s="67">
        <f>+N74*tab!J$8</f>
        <v>0</v>
      </c>
      <c r="AM74" s="70"/>
      <c r="AN74" s="152">
        <v>0</v>
      </c>
      <c r="AO74" s="119">
        <f t="shared" si="30"/>
        <v>0</v>
      </c>
      <c r="AP74" s="119">
        <f t="shared" si="30"/>
        <v>0</v>
      </c>
      <c r="AQ74" s="119">
        <f t="shared" si="21"/>
        <v>0</v>
      </c>
      <c r="AR74" s="119">
        <f t="shared" si="21"/>
        <v>0</v>
      </c>
      <c r="AS74" s="119">
        <f t="shared" si="21"/>
        <v>0</v>
      </c>
      <c r="AT74" s="119">
        <f t="shared" si="21"/>
        <v>0</v>
      </c>
      <c r="AU74" s="91"/>
      <c r="AV74" s="133"/>
    </row>
    <row r="75" spans="2:48" s="112" customFormat="1" x14ac:dyDescent="0.2">
      <c r="B75" s="953"/>
      <c r="C75" s="149"/>
      <c r="D75" s="49">
        <v>61</v>
      </c>
      <c r="E75" s="150" t="s">
        <v>576</v>
      </c>
      <c r="F75" s="831" t="s">
        <v>274</v>
      </c>
      <c r="G75" s="967"/>
      <c r="H75" s="954">
        <v>0</v>
      </c>
      <c r="I75" s="118">
        <f t="shared" si="28"/>
        <v>0</v>
      </c>
      <c r="J75" s="118">
        <f t="shared" si="28"/>
        <v>0</v>
      </c>
      <c r="K75" s="118">
        <f t="shared" si="28"/>
        <v>0</v>
      </c>
      <c r="L75" s="118">
        <f t="shared" si="28"/>
        <v>0</v>
      </c>
      <c r="M75" s="118">
        <f t="shared" si="28"/>
        <v>0</v>
      </c>
      <c r="N75" s="118">
        <f t="shared" si="28"/>
        <v>0</v>
      </c>
      <c r="O75" s="70"/>
      <c r="P75" s="67">
        <f>H75*tab!E$7</f>
        <v>0</v>
      </c>
      <c r="Q75" s="67">
        <f>I75*tab!F$7</f>
        <v>0</v>
      </c>
      <c r="R75" s="67">
        <f>J75*tab!G$7</f>
        <v>0</v>
      </c>
      <c r="S75" s="67">
        <f>K75*tab!H$7</f>
        <v>0</v>
      </c>
      <c r="T75" s="67">
        <f>L75*tab!I$7</f>
        <v>0</v>
      </c>
      <c r="U75" s="67">
        <f>M75*tab!J$7</f>
        <v>0</v>
      </c>
      <c r="V75" s="67">
        <f>N75*tab!K$7</f>
        <v>0</v>
      </c>
      <c r="W75" s="70"/>
      <c r="X75" s="119">
        <v>0</v>
      </c>
      <c r="Y75" s="119">
        <f t="shared" si="26"/>
        <v>0</v>
      </c>
      <c r="Z75" s="119">
        <f t="shared" si="29"/>
        <v>0</v>
      </c>
      <c r="AA75" s="119">
        <f t="shared" si="29"/>
        <v>0</v>
      </c>
      <c r="AB75" s="119">
        <f t="shared" si="29"/>
        <v>0</v>
      </c>
      <c r="AC75" s="119">
        <f t="shared" si="29"/>
        <v>0</v>
      </c>
      <c r="AD75" s="119">
        <f t="shared" si="29"/>
        <v>0</v>
      </c>
      <c r="AE75" s="70"/>
      <c r="AF75" s="67">
        <f>+H75*tab!D$8</f>
        <v>0</v>
      </c>
      <c r="AG75" s="67">
        <f>+I75*tab!E$8</f>
        <v>0</v>
      </c>
      <c r="AH75" s="67">
        <f>+J75*tab!F$8</f>
        <v>0</v>
      </c>
      <c r="AI75" s="67">
        <f>+K75*tab!G$8</f>
        <v>0</v>
      </c>
      <c r="AJ75" s="67">
        <f>+L75*tab!H$8</f>
        <v>0</v>
      </c>
      <c r="AK75" s="67">
        <f>+M75*tab!I$8</f>
        <v>0</v>
      </c>
      <c r="AL75" s="67">
        <f>+N75*tab!J$8</f>
        <v>0</v>
      </c>
      <c r="AM75" s="70"/>
      <c r="AN75" s="152">
        <v>0</v>
      </c>
      <c r="AO75" s="119">
        <f t="shared" si="30"/>
        <v>0</v>
      </c>
      <c r="AP75" s="119">
        <f t="shared" si="30"/>
        <v>0</v>
      </c>
      <c r="AQ75" s="119">
        <f t="shared" si="21"/>
        <v>0</v>
      </c>
      <c r="AR75" s="119">
        <f t="shared" si="21"/>
        <v>0</v>
      </c>
      <c r="AS75" s="119">
        <f t="shared" si="21"/>
        <v>0</v>
      </c>
      <c r="AT75" s="119">
        <f t="shared" si="21"/>
        <v>0</v>
      </c>
      <c r="AU75" s="91"/>
      <c r="AV75" s="133"/>
    </row>
    <row r="76" spans="2:48" s="112" customFormat="1" x14ac:dyDescent="0.2">
      <c r="B76" s="953"/>
      <c r="C76" s="149"/>
      <c r="D76" s="49">
        <v>62</v>
      </c>
      <c r="E76" s="150" t="s">
        <v>577</v>
      </c>
      <c r="F76" s="831" t="s">
        <v>274</v>
      </c>
      <c r="G76" s="967"/>
      <c r="H76" s="954">
        <v>0</v>
      </c>
      <c r="I76" s="118">
        <f t="shared" si="28"/>
        <v>0</v>
      </c>
      <c r="J76" s="118">
        <f t="shared" si="28"/>
        <v>0</v>
      </c>
      <c r="K76" s="118">
        <f t="shared" si="28"/>
        <v>0</v>
      </c>
      <c r="L76" s="118">
        <f t="shared" si="28"/>
        <v>0</v>
      </c>
      <c r="M76" s="118">
        <f t="shared" si="28"/>
        <v>0</v>
      </c>
      <c r="N76" s="118">
        <f t="shared" si="28"/>
        <v>0</v>
      </c>
      <c r="O76" s="70"/>
      <c r="P76" s="67">
        <f>H76*tab!E$7</f>
        <v>0</v>
      </c>
      <c r="Q76" s="67">
        <f>I76*tab!F$7</f>
        <v>0</v>
      </c>
      <c r="R76" s="67">
        <f>J76*tab!G$7</f>
        <v>0</v>
      </c>
      <c r="S76" s="67">
        <f>K76*tab!H$7</f>
        <v>0</v>
      </c>
      <c r="T76" s="67">
        <f>L76*tab!I$7</f>
        <v>0</v>
      </c>
      <c r="U76" s="67">
        <f>M76*tab!J$7</f>
        <v>0</v>
      </c>
      <c r="V76" s="67">
        <f>N76*tab!K$7</f>
        <v>0</v>
      </c>
      <c r="W76" s="70"/>
      <c r="X76" s="119">
        <v>0</v>
      </c>
      <c r="Y76" s="119">
        <f t="shared" si="26"/>
        <v>0</v>
      </c>
      <c r="Z76" s="119">
        <f t="shared" si="29"/>
        <v>0</v>
      </c>
      <c r="AA76" s="119">
        <f t="shared" si="29"/>
        <v>0</v>
      </c>
      <c r="AB76" s="119">
        <f t="shared" si="29"/>
        <v>0</v>
      </c>
      <c r="AC76" s="119">
        <f t="shared" si="29"/>
        <v>0</v>
      </c>
      <c r="AD76" s="119">
        <f t="shared" si="29"/>
        <v>0</v>
      </c>
      <c r="AE76" s="70"/>
      <c r="AF76" s="67">
        <f>+H76*tab!D$8</f>
        <v>0</v>
      </c>
      <c r="AG76" s="67">
        <f>+I76*tab!E$8</f>
        <v>0</v>
      </c>
      <c r="AH76" s="67">
        <f>+J76*tab!F$8</f>
        <v>0</v>
      </c>
      <c r="AI76" s="67">
        <f>+K76*tab!G$8</f>
        <v>0</v>
      </c>
      <c r="AJ76" s="67">
        <f>+L76*tab!H$8</f>
        <v>0</v>
      </c>
      <c r="AK76" s="67">
        <f>+M76*tab!I$8</f>
        <v>0</v>
      </c>
      <c r="AL76" s="67">
        <f>+N76*tab!J$8</f>
        <v>0</v>
      </c>
      <c r="AM76" s="70"/>
      <c r="AN76" s="152">
        <v>0</v>
      </c>
      <c r="AO76" s="119">
        <f t="shared" si="30"/>
        <v>0</v>
      </c>
      <c r="AP76" s="119">
        <f t="shared" si="30"/>
        <v>0</v>
      </c>
      <c r="AQ76" s="119">
        <f t="shared" si="21"/>
        <v>0</v>
      </c>
      <c r="AR76" s="119">
        <f t="shared" si="21"/>
        <v>0</v>
      </c>
      <c r="AS76" s="119">
        <f t="shared" si="21"/>
        <v>0</v>
      </c>
      <c r="AT76" s="119">
        <f t="shared" si="21"/>
        <v>0</v>
      </c>
      <c r="AU76" s="91"/>
      <c r="AV76" s="133"/>
    </row>
    <row r="77" spans="2:48" s="112" customFormat="1" x14ac:dyDescent="0.2">
      <c r="B77" s="953"/>
      <c r="C77" s="149"/>
      <c r="D77" s="49">
        <v>63</v>
      </c>
      <c r="E77" s="150" t="s">
        <v>578</v>
      </c>
      <c r="F77" s="831" t="s">
        <v>274</v>
      </c>
      <c r="G77" s="967"/>
      <c r="H77" s="954">
        <v>0</v>
      </c>
      <c r="I77" s="118">
        <f t="shared" ref="I77:N96" si="31">H77</f>
        <v>0</v>
      </c>
      <c r="J77" s="118">
        <f t="shared" si="31"/>
        <v>0</v>
      </c>
      <c r="K77" s="118">
        <f t="shared" si="31"/>
        <v>0</v>
      </c>
      <c r="L77" s="118">
        <f t="shared" si="31"/>
        <v>0</v>
      </c>
      <c r="M77" s="118">
        <f t="shared" si="31"/>
        <v>0</v>
      </c>
      <c r="N77" s="118">
        <f t="shared" si="31"/>
        <v>0</v>
      </c>
      <c r="O77" s="70"/>
      <c r="P77" s="67">
        <f>H77*tab!E$7</f>
        <v>0</v>
      </c>
      <c r="Q77" s="67">
        <f>I77*tab!F$7</f>
        <v>0</v>
      </c>
      <c r="R77" s="67">
        <f>J77*tab!G$7</f>
        <v>0</v>
      </c>
      <c r="S77" s="67">
        <f>K77*tab!H$7</f>
        <v>0</v>
      </c>
      <c r="T77" s="67">
        <f>L77*tab!I$7</f>
        <v>0</v>
      </c>
      <c r="U77" s="67">
        <f>M77*tab!J$7</f>
        <v>0</v>
      </c>
      <c r="V77" s="67">
        <f>N77*tab!K$7</f>
        <v>0</v>
      </c>
      <c r="W77" s="70"/>
      <c r="X77" s="119">
        <v>0</v>
      </c>
      <c r="Y77" s="119">
        <f t="shared" si="26"/>
        <v>0</v>
      </c>
      <c r="Z77" s="119">
        <f t="shared" si="29"/>
        <v>0</v>
      </c>
      <c r="AA77" s="119">
        <f t="shared" si="29"/>
        <v>0</v>
      </c>
      <c r="AB77" s="119">
        <f t="shared" si="29"/>
        <v>0</v>
      </c>
      <c r="AC77" s="119">
        <f t="shared" si="29"/>
        <v>0</v>
      </c>
      <c r="AD77" s="119">
        <f t="shared" si="29"/>
        <v>0</v>
      </c>
      <c r="AE77" s="70"/>
      <c r="AF77" s="67">
        <f>+H77*tab!D$8</f>
        <v>0</v>
      </c>
      <c r="AG77" s="67">
        <f>+I77*tab!E$8</f>
        <v>0</v>
      </c>
      <c r="AH77" s="67">
        <f>+J77*tab!F$8</f>
        <v>0</v>
      </c>
      <c r="AI77" s="67">
        <f>+K77*tab!G$8</f>
        <v>0</v>
      </c>
      <c r="AJ77" s="67">
        <f>+L77*tab!H$8</f>
        <v>0</v>
      </c>
      <c r="AK77" s="67">
        <f>+M77*tab!I$8</f>
        <v>0</v>
      </c>
      <c r="AL77" s="67">
        <f>+N77*tab!J$8</f>
        <v>0</v>
      </c>
      <c r="AM77" s="70"/>
      <c r="AN77" s="152">
        <v>0</v>
      </c>
      <c r="AO77" s="119">
        <f t="shared" si="30"/>
        <v>0</v>
      </c>
      <c r="AP77" s="119">
        <f t="shared" si="30"/>
        <v>0</v>
      </c>
      <c r="AQ77" s="119">
        <f t="shared" si="21"/>
        <v>0</v>
      </c>
      <c r="AR77" s="119">
        <f t="shared" si="21"/>
        <v>0</v>
      </c>
      <c r="AS77" s="119">
        <f t="shared" si="21"/>
        <v>0</v>
      </c>
      <c r="AT77" s="119">
        <f t="shared" si="21"/>
        <v>0</v>
      </c>
      <c r="AU77" s="91"/>
      <c r="AV77" s="133"/>
    </row>
    <row r="78" spans="2:48" s="112" customFormat="1" x14ac:dyDescent="0.2">
      <c r="B78" s="953"/>
      <c r="C78" s="149"/>
      <c r="D78" s="49">
        <v>64</v>
      </c>
      <c r="E78" s="150" t="s">
        <v>579</v>
      </c>
      <c r="F78" s="831" t="s">
        <v>274</v>
      </c>
      <c r="G78" s="967"/>
      <c r="H78" s="954">
        <v>0</v>
      </c>
      <c r="I78" s="118">
        <f t="shared" si="31"/>
        <v>0</v>
      </c>
      <c r="J78" s="118">
        <f t="shared" si="31"/>
        <v>0</v>
      </c>
      <c r="K78" s="118">
        <f t="shared" si="31"/>
        <v>0</v>
      </c>
      <c r="L78" s="118">
        <f t="shared" si="31"/>
        <v>0</v>
      </c>
      <c r="M78" s="118">
        <f t="shared" si="31"/>
        <v>0</v>
      </c>
      <c r="N78" s="118">
        <f t="shared" si="31"/>
        <v>0</v>
      </c>
      <c r="O78" s="70"/>
      <c r="P78" s="67">
        <f>H78*tab!E$7</f>
        <v>0</v>
      </c>
      <c r="Q78" s="67">
        <f>I78*tab!F$7</f>
        <v>0</v>
      </c>
      <c r="R78" s="67">
        <f>J78*tab!G$7</f>
        <v>0</v>
      </c>
      <c r="S78" s="67">
        <f>K78*tab!H$7</f>
        <v>0</v>
      </c>
      <c r="T78" s="67">
        <f>L78*tab!I$7</f>
        <v>0</v>
      </c>
      <c r="U78" s="67">
        <f>M78*tab!J$7</f>
        <v>0</v>
      </c>
      <c r="V78" s="67">
        <f>N78*tab!K$7</f>
        <v>0</v>
      </c>
      <c r="W78" s="70"/>
      <c r="X78" s="119">
        <v>0</v>
      </c>
      <c r="Y78" s="119">
        <f t="shared" si="26"/>
        <v>0</v>
      </c>
      <c r="Z78" s="119">
        <f t="shared" si="29"/>
        <v>0</v>
      </c>
      <c r="AA78" s="119">
        <f t="shared" si="29"/>
        <v>0</v>
      </c>
      <c r="AB78" s="119">
        <f t="shared" si="29"/>
        <v>0</v>
      </c>
      <c r="AC78" s="119">
        <f t="shared" si="29"/>
        <v>0</v>
      </c>
      <c r="AD78" s="119">
        <f t="shared" si="29"/>
        <v>0</v>
      </c>
      <c r="AE78" s="70"/>
      <c r="AF78" s="67">
        <f>+H78*tab!D$8</f>
        <v>0</v>
      </c>
      <c r="AG78" s="67">
        <f>+I78*tab!E$8</f>
        <v>0</v>
      </c>
      <c r="AH78" s="67">
        <f>+J78*tab!F$8</f>
        <v>0</v>
      </c>
      <c r="AI78" s="67">
        <f>+K78*tab!G$8</f>
        <v>0</v>
      </c>
      <c r="AJ78" s="67">
        <f>+L78*tab!H$8</f>
        <v>0</v>
      </c>
      <c r="AK78" s="67">
        <f>+M78*tab!I$8</f>
        <v>0</v>
      </c>
      <c r="AL78" s="67">
        <f>+N78*tab!J$8</f>
        <v>0</v>
      </c>
      <c r="AM78" s="70"/>
      <c r="AN78" s="152">
        <v>0</v>
      </c>
      <c r="AO78" s="119">
        <f t="shared" si="30"/>
        <v>0</v>
      </c>
      <c r="AP78" s="119">
        <f t="shared" si="30"/>
        <v>0</v>
      </c>
      <c r="AQ78" s="119">
        <f t="shared" si="21"/>
        <v>0</v>
      </c>
      <c r="AR78" s="119">
        <f t="shared" si="21"/>
        <v>0</v>
      </c>
      <c r="AS78" s="119">
        <f t="shared" si="21"/>
        <v>0</v>
      </c>
      <c r="AT78" s="119">
        <f t="shared" si="21"/>
        <v>0</v>
      </c>
      <c r="AU78" s="91"/>
      <c r="AV78" s="133"/>
    </row>
    <row r="79" spans="2:48" s="112" customFormat="1" x14ac:dyDescent="0.2">
      <c r="B79" s="953"/>
      <c r="C79" s="149"/>
      <c r="D79" s="49">
        <v>65</v>
      </c>
      <c r="E79" s="150" t="s">
        <v>580</v>
      </c>
      <c r="F79" s="831" t="s">
        <v>274</v>
      </c>
      <c r="G79" s="967"/>
      <c r="H79" s="954">
        <v>0</v>
      </c>
      <c r="I79" s="118">
        <f t="shared" si="31"/>
        <v>0</v>
      </c>
      <c r="J79" s="118">
        <f t="shared" si="31"/>
        <v>0</v>
      </c>
      <c r="K79" s="118">
        <f t="shared" si="31"/>
        <v>0</v>
      </c>
      <c r="L79" s="118">
        <f t="shared" si="31"/>
        <v>0</v>
      </c>
      <c r="M79" s="118">
        <f t="shared" si="31"/>
        <v>0</v>
      </c>
      <c r="N79" s="118">
        <f t="shared" si="31"/>
        <v>0</v>
      </c>
      <c r="O79" s="70"/>
      <c r="P79" s="67">
        <f>H79*tab!E$7</f>
        <v>0</v>
      </c>
      <c r="Q79" s="67">
        <f>I79*tab!F$7</f>
        <v>0</v>
      </c>
      <c r="R79" s="67">
        <f>J79*tab!G$7</f>
        <v>0</v>
      </c>
      <c r="S79" s="67">
        <f>K79*tab!H$7</f>
        <v>0</v>
      </c>
      <c r="T79" s="67">
        <f>L79*tab!I$7</f>
        <v>0</v>
      </c>
      <c r="U79" s="67">
        <f>M79*tab!J$7</f>
        <v>0</v>
      </c>
      <c r="V79" s="67">
        <f>N79*tab!K$7</f>
        <v>0</v>
      </c>
      <c r="W79" s="70"/>
      <c r="X79" s="119">
        <v>0</v>
      </c>
      <c r="Y79" s="119">
        <f t="shared" si="26"/>
        <v>0</v>
      </c>
      <c r="Z79" s="119">
        <f t="shared" si="29"/>
        <v>0</v>
      </c>
      <c r="AA79" s="119">
        <f t="shared" si="29"/>
        <v>0</v>
      </c>
      <c r="AB79" s="119">
        <f t="shared" si="29"/>
        <v>0</v>
      </c>
      <c r="AC79" s="119">
        <f t="shared" si="29"/>
        <v>0</v>
      </c>
      <c r="AD79" s="119">
        <f t="shared" si="29"/>
        <v>0</v>
      </c>
      <c r="AE79" s="70"/>
      <c r="AF79" s="67">
        <f>+H79*tab!D$8</f>
        <v>0</v>
      </c>
      <c r="AG79" s="67">
        <f>+I79*tab!E$8</f>
        <v>0</v>
      </c>
      <c r="AH79" s="67">
        <f>+J79*tab!F$8</f>
        <v>0</v>
      </c>
      <c r="AI79" s="67">
        <f>+K79*tab!G$8</f>
        <v>0</v>
      </c>
      <c r="AJ79" s="67">
        <f>+L79*tab!H$8</f>
        <v>0</v>
      </c>
      <c r="AK79" s="67">
        <f>+M79*tab!I$8</f>
        <v>0</v>
      </c>
      <c r="AL79" s="67">
        <f>+N79*tab!J$8</f>
        <v>0</v>
      </c>
      <c r="AM79" s="70"/>
      <c r="AN79" s="152">
        <v>0</v>
      </c>
      <c r="AO79" s="119">
        <f t="shared" si="30"/>
        <v>0</v>
      </c>
      <c r="AP79" s="119">
        <f t="shared" si="30"/>
        <v>0</v>
      </c>
      <c r="AQ79" s="119">
        <f t="shared" si="21"/>
        <v>0</v>
      </c>
      <c r="AR79" s="119">
        <f t="shared" si="21"/>
        <v>0</v>
      </c>
      <c r="AS79" s="119">
        <f t="shared" si="21"/>
        <v>0</v>
      </c>
      <c r="AT79" s="119">
        <f t="shared" si="21"/>
        <v>0</v>
      </c>
      <c r="AU79" s="91"/>
      <c r="AV79" s="133"/>
    </row>
    <row r="80" spans="2:48" s="112" customFormat="1" x14ac:dyDescent="0.2">
      <c r="B80" s="953"/>
      <c r="C80" s="149"/>
      <c r="D80" s="49">
        <v>66</v>
      </c>
      <c r="E80" s="150" t="s">
        <v>581</v>
      </c>
      <c r="F80" s="831" t="s">
        <v>274</v>
      </c>
      <c r="G80" s="967"/>
      <c r="H80" s="954">
        <v>0</v>
      </c>
      <c r="I80" s="118">
        <f t="shared" si="31"/>
        <v>0</v>
      </c>
      <c r="J80" s="118">
        <f t="shared" si="31"/>
        <v>0</v>
      </c>
      <c r="K80" s="118">
        <f t="shared" si="31"/>
        <v>0</v>
      </c>
      <c r="L80" s="118">
        <f t="shared" si="31"/>
        <v>0</v>
      </c>
      <c r="M80" s="118">
        <f t="shared" si="31"/>
        <v>0</v>
      </c>
      <c r="N80" s="118">
        <f t="shared" si="31"/>
        <v>0</v>
      </c>
      <c r="O80" s="70"/>
      <c r="P80" s="67">
        <f>H80*tab!E$7</f>
        <v>0</v>
      </c>
      <c r="Q80" s="67">
        <f>I80*tab!F$7</f>
        <v>0</v>
      </c>
      <c r="R80" s="67">
        <f>J80*tab!G$7</f>
        <v>0</v>
      </c>
      <c r="S80" s="67">
        <f>K80*tab!H$7</f>
        <v>0</v>
      </c>
      <c r="T80" s="67">
        <f>L80*tab!I$7</f>
        <v>0</v>
      </c>
      <c r="U80" s="67">
        <f>M80*tab!J$7</f>
        <v>0</v>
      </c>
      <c r="V80" s="67">
        <f>N80*tab!K$7</f>
        <v>0</v>
      </c>
      <c r="W80" s="70"/>
      <c r="X80" s="119">
        <v>0</v>
      </c>
      <c r="Y80" s="119">
        <f t="shared" ref="Y80:Y111" si="32">X80</f>
        <v>0</v>
      </c>
      <c r="Z80" s="119">
        <f t="shared" si="29"/>
        <v>0</v>
      </c>
      <c r="AA80" s="119">
        <f t="shared" si="29"/>
        <v>0</v>
      </c>
      <c r="AB80" s="119">
        <f t="shared" si="29"/>
        <v>0</v>
      </c>
      <c r="AC80" s="119">
        <f t="shared" si="29"/>
        <v>0</v>
      </c>
      <c r="AD80" s="119">
        <f t="shared" si="29"/>
        <v>0</v>
      </c>
      <c r="AE80" s="70"/>
      <c r="AF80" s="67">
        <f>+H80*tab!D$8</f>
        <v>0</v>
      </c>
      <c r="AG80" s="67">
        <f>+I80*tab!E$8</f>
        <v>0</v>
      </c>
      <c r="AH80" s="67">
        <f>+J80*tab!F$8</f>
        <v>0</v>
      </c>
      <c r="AI80" s="67">
        <f>+K80*tab!G$8</f>
        <v>0</v>
      </c>
      <c r="AJ80" s="67">
        <f>+L80*tab!H$8</f>
        <v>0</v>
      </c>
      <c r="AK80" s="67">
        <f>+M80*tab!I$8</f>
        <v>0</v>
      </c>
      <c r="AL80" s="67">
        <f>+N80*tab!J$8</f>
        <v>0</v>
      </c>
      <c r="AM80" s="70"/>
      <c r="AN80" s="152">
        <v>0</v>
      </c>
      <c r="AO80" s="119">
        <f t="shared" si="30"/>
        <v>0</v>
      </c>
      <c r="AP80" s="119">
        <f t="shared" si="30"/>
        <v>0</v>
      </c>
      <c r="AQ80" s="119">
        <f t="shared" si="21"/>
        <v>0</v>
      </c>
      <c r="AR80" s="119">
        <f t="shared" si="21"/>
        <v>0</v>
      </c>
      <c r="AS80" s="119">
        <f t="shared" si="21"/>
        <v>0</v>
      </c>
      <c r="AT80" s="119">
        <f t="shared" si="21"/>
        <v>0</v>
      </c>
      <c r="AU80" s="91"/>
      <c r="AV80" s="133"/>
    </row>
    <row r="81" spans="2:48" s="112" customFormat="1" x14ac:dyDescent="0.2">
      <c r="B81" s="953"/>
      <c r="C81" s="149"/>
      <c r="D81" s="49">
        <v>67</v>
      </c>
      <c r="E81" s="150" t="s">
        <v>582</v>
      </c>
      <c r="F81" s="831" t="s">
        <v>274</v>
      </c>
      <c r="G81" s="967"/>
      <c r="H81" s="954">
        <v>0</v>
      </c>
      <c r="I81" s="118">
        <f t="shared" si="31"/>
        <v>0</v>
      </c>
      <c r="J81" s="118">
        <f t="shared" si="31"/>
        <v>0</v>
      </c>
      <c r="K81" s="118">
        <f t="shared" si="31"/>
        <v>0</v>
      </c>
      <c r="L81" s="118">
        <f t="shared" si="31"/>
        <v>0</v>
      </c>
      <c r="M81" s="118">
        <f t="shared" si="31"/>
        <v>0</v>
      </c>
      <c r="N81" s="118">
        <f t="shared" si="31"/>
        <v>0</v>
      </c>
      <c r="O81" s="70"/>
      <c r="P81" s="67">
        <f>H81*tab!E$7</f>
        <v>0</v>
      </c>
      <c r="Q81" s="67">
        <f>I81*tab!F$7</f>
        <v>0</v>
      </c>
      <c r="R81" s="67">
        <f>J81*tab!G$7</f>
        <v>0</v>
      </c>
      <c r="S81" s="67">
        <f>K81*tab!H$7</f>
        <v>0</v>
      </c>
      <c r="T81" s="67">
        <f>L81*tab!I$7</f>
        <v>0</v>
      </c>
      <c r="U81" s="67">
        <f>M81*tab!J$7</f>
        <v>0</v>
      </c>
      <c r="V81" s="67">
        <f>N81*tab!K$7</f>
        <v>0</v>
      </c>
      <c r="W81" s="70"/>
      <c r="X81" s="119">
        <v>0</v>
      </c>
      <c r="Y81" s="119">
        <f t="shared" si="32"/>
        <v>0</v>
      </c>
      <c r="Z81" s="119">
        <f t="shared" si="29"/>
        <v>0</v>
      </c>
      <c r="AA81" s="119">
        <f t="shared" si="29"/>
        <v>0</v>
      </c>
      <c r="AB81" s="119">
        <f t="shared" si="29"/>
        <v>0</v>
      </c>
      <c r="AC81" s="119">
        <f t="shared" si="29"/>
        <v>0</v>
      </c>
      <c r="AD81" s="119">
        <f t="shared" si="29"/>
        <v>0</v>
      </c>
      <c r="AE81" s="70"/>
      <c r="AF81" s="67">
        <f>+H81*tab!D$8</f>
        <v>0</v>
      </c>
      <c r="AG81" s="67">
        <f>+I81*tab!E$8</f>
        <v>0</v>
      </c>
      <c r="AH81" s="67">
        <f>+J81*tab!F$8</f>
        <v>0</v>
      </c>
      <c r="AI81" s="67">
        <f>+K81*tab!G$8</f>
        <v>0</v>
      </c>
      <c r="AJ81" s="67">
        <f>+L81*tab!H$8</f>
        <v>0</v>
      </c>
      <c r="AK81" s="67">
        <f>+M81*tab!I$8</f>
        <v>0</v>
      </c>
      <c r="AL81" s="67">
        <f>+N81*tab!J$8</f>
        <v>0</v>
      </c>
      <c r="AM81" s="70"/>
      <c r="AN81" s="152">
        <v>0</v>
      </c>
      <c r="AO81" s="119">
        <f t="shared" si="30"/>
        <v>0</v>
      </c>
      <c r="AP81" s="119">
        <f t="shared" si="30"/>
        <v>0</v>
      </c>
      <c r="AQ81" s="119">
        <f t="shared" si="21"/>
        <v>0</v>
      </c>
      <c r="AR81" s="119">
        <f t="shared" si="21"/>
        <v>0</v>
      </c>
      <c r="AS81" s="119">
        <f t="shared" si="21"/>
        <v>0</v>
      </c>
      <c r="AT81" s="119">
        <f t="shared" si="21"/>
        <v>0</v>
      </c>
      <c r="AU81" s="91"/>
      <c r="AV81" s="133"/>
    </row>
    <row r="82" spans="2:48" s="112" customFormat="1" x14ac:dyDescent="0.2">
      <c r="B82" s="953"/>
      <c r="C82" s="149"/>
      <c r="D82" s="49">
        <v>68</v>
      </c>
      <c r="E82" s="150" t="s">
        <v>282</v>
      </c>
      <c r="F82" s="831" t="s">
        <v>274</v>
      </c>
      <c r="G82" s="967"/>
      <c r="H82" s="954">
        <v>0</v>
      </c>
      <c r="I82" s="118">
        <f t="shared" si="31"/>
        <v>0</v>
      </c>
      <c r="J82" s="118">
        <f t="shared" si="31"/>
        <v>0</v>
      </c>
      <c r="K82" s="118">
        <f t="shared" si="31"/>
        <v>0</v>
      </c>
      <c r="L82" s="118">
        <f t="shared" si="31"/>
        <v>0</v>
      </c>
      <c r="M82" s="118">
        <f t="shared" si="31"/>
        <v>0</v>
      </c>
      <c r="N82" s="118">
        <f t="shared" si="31"/>
        <v>0</v>
      </c>
      <c r="O82" s="70"/>
      <c r="P82" s="67">
        <f>H82*tab!E$7</f>
        <v>0</v>
      </c>
      <c r="Q82" s="67">
        <f>I82*tab!F$7</f>
        <v>0</v>
      </c>
      <c r="R82" s="67">
        <f>J82*tab!G$7</f>
        <v>0</v>
      </c>
      <c r="S82" s="67">
        <f>K82*tab!H$7</f>
        <v>0</v>
      </c>
      <c r="T82" s="67">
        <f>L82*tab!I$7</f>
        <v>0</v>
      </c>
      <c r="U82" s="67">
        <f>M82*tab!J$7</f>
        <v>0</v>
      </c>
      <c r="V82" s="67">
        <f>N82*tab!K$7</f>
        <v>0</v>
      </c>
      <c r="W82" s="70"/>
      <c r="X82" s="119">
        <v>0</v>
      </c>
      <c r="Y82" s="119">
        <f t="shared" si="32"/>
        <v>0</v>
      </c>
      <c r="Z82" s="119">
        <f t="shared" si="29"/>
        <v>0</v>
      </c>
      <c r="AA82" s="119">
        <f t="shared" si="29"/>
        <v>0</v>
      </c>
      <c r="AB82" s="119">
        <f t="shared" si="29"/>
        <v>0</v>
      </c>
      <c r="AC82" s="119">
        <f t="shared" si="29"/>
        <v>0</v>
      </c>
      <c r="AD82" s="119">
        <f t="shared" si="29"/>
        <v>0</v>
      </c>
      <c r="AE82" s="70"/>
      <c r="AF82" s="67">
        <f>+H82*tab!D$8</f>
        <v>0</v>
      </c>
      <c r="AG82" s="67">
        <f>+I82*tab!E$8</f>
        <v>0</v>
      </c>
      <c r="AH82" s="67">
        <f>+J82*tab!F$8</f>
        <v>0</v>
      </c>
      <c r="AI82" s="67">
        <f>+K82*tab!G$8</f>
        <v>0</v>
      </c>
      <c r="AJ82" s="67">
        <f>+L82*tab!H$8</f>
        <v>0</v>
      </c>
      <c r="AK82" s="67">
        <f>+M82*tab!I$8</f>
        <v>0</v>
      </c>
      <c r="AL82" s="67">
        <f>+N82*tab!J$8</f>
        <v>0</v>
      </c>
      <c r="AM82" s="70"/>
      <c r="AN82" s="152">
        <v>0</v>
      </c>
      <c r="AO82" s="119">
        <f t="shared" si="30"/>
        <v>0</v>
      </c>
      <c r="AP82" s="119">
        <f t="shared" si="30"/>
        <v>0</v>
      </c>
      <c r="AQ82" s="119">
        <f t="shared" si="21"/>
        <v>0</v>
      </c>
      <c r="AR82" s="119">
        <f t="shared" si="21"/>
        <v>0</v>
      </c>
      <c r="AS82" s="119">
        <f t="shared" si="21"/>
        <v>0</v>
      </c>
      <c r="AT82" s="119">
        <f t="shared" si="21"/>
        <v>0</v>
      </c>
      <c r="AU82" s="91"/>
      <c r="AV82" s="133"/>
    </row>
    <row r="83" spans="2:48" s="112" customFormat="1" x14ac:dyDescent="0.2">
      <c r="B83" s="953"/>
      <c r="C83" s="149"/>
      <c r="D83" s="49">
        <v>69</v>
      </c>
      <c r="E83" s="150" t="s">
        <v>283</v>
      </c>
      <c r="F83" s="831" t="s">
        <v>274</v>
      </c>
      <c r="G83" s="967"/>
      <c r="H83" s="954">
        <v>0</v>
      </c>
      <c r="I83" s="118">
        <f t="shared" si="31"/>
        <v>0</v>
      </c>
      <c r="J83" s="118">
        <f t="shared" si="31"/>
        <v>0</v>
      </c>
      <c r="K83" s="118">
        <f t="shared" si="31"/>
        <v>0</v>
      </c>
      <c r="L83" s="118">
        <f t="shared" si="31"/>
        <v>0</v>
      </c>
      <c r="M83" s="118">
        <f t="shared" si="31"/>
        <v>0</v>
      </c>
      <c r="N83" s="118">
        <f t="shared" si="31"/>
        <v>0</v>
      </c>
      <c r="O83" s="70"/>
      <c r="P83" s="67">
        <f>H83*tab!E$7</f>
        <v>0</v>
      </c>
      <c r="Q83" s="67">
        <f>I83*tab!F$7</f>
        <v>0</v>
      </c>
      <c r="R83" s="67">
        <f>J83*tab!G$7</f>
        <v>0</v>
      </c>
      <c r="S83" s="67">
        <f>K83*tab!H$7</f>
        <v>0</v>
      </c>
      <c r="T83" s="67">
        <f>L83*tab!I$7</f>
        <v>0</v>
      </c>
      <c r="U83" s="67">
        <f>M83*tab!J$7</f>
        <v>0</v>
      </c>
      <c r="V83" s="67">
        <f>N83*tab!K$7</f>
        <v>0</v>
      </c>
      <c r="W83" s="70"/>
      <c r="X83" s="119">
        <v>0</v>
      </c>
      <c r="Y83" s="119">
        <f t="shared" si="32"/>
        <v>0</v>
      </c>
      <c r="Z83" s="119">
        <f t="shared" ref="Z83:AD102" si="33">Y83</f>
        <v>0</v>
      </c>
      <c r="AA83" s="119">
        <f t="shared" si="33"/>
        <v>0</v>
      </c>
      <c r="AB83" s="119">
        <f t="shared" si="33"/>
        <v>0</v>
      </c>
      <c r="AC83" s="119">
        <f t="shared" si="33"/>
        <v>0</v>
      </c>
      <c r="AD83" s="119">
        <f t="shared" si="33"/>
        <v>0</v>
      </c>
      <c r="AE83" s="70"/>
      <c r="AF83" s="67">
        <f>+H83*tab!D$8</f>
        <v>0</v>
      </c>
      <c r="AG83" s="67">
        <f>+I83*tab!E$8</f>
        <v>0</v>
      </c>
      <c r="AH83" s="67">
        <f>+J83*tab!F$8</f>
        <v>0</v>
      </c>
      <c r="AI83" s="67">
        <f>+K83*tab!G$8</f>
        <v>0</v>
      </c>
      <c r="AJ83" s="67">
        <f>+L83*tab!H$8</f>
        <v>0</v>
      </c>
      <c r="AK83" s="67">
        <f>+M83*tab!I$8</f>
        <v>0</v>
      </c>
      <c r="AL83" s="67">
        <f>+N83*tab!J$8</f>
        <v>0</v>
      </c>
      <c r="AM83" s="70"/>
      <c r="AN83" s="152">
        <v>0</v>
      </c>
      <c r="AO83" s="119">
        <f t="shared" si="30"/>
        <v>0</v>
      </c>
      <c r="AP83" s="119">
        <f t="shared" si="30"/>
        <v>0</v>
      </c>
      <c r="AQ83" s="119">
        <f t="shared" si="21"/>
        <v>0</v>
      </c>
      <c r="AR83" s="119">
        <f t="shared" si="21"/>
        <v>0</v>
      </c>
      <c r="AS83" s="119">
        <f t="shared" si="21"/>
        <v>0</v>
      </c>
      <c r="AT83" s="119">
        <f t="shared" si="21"/>
        <v>0</v>
      </c>
      <c r="AU83" s="91"/>
      <c r="AV83" s="133"/>
    </row>
    <row r="84" spans="2:48" s="112" customFormat="1" x14ac:dyDescent="0.2">
      <c r="B84" s="953"/>
      <c r="C84" s="149"/>
      <c r="D84" s="49">
        <v>70</v>
      </c>
      <c r="E84" s="150" t="s">
        <v>284</v>
      </c>
      <c r="F84" s="831" t="s">
        <v>274</v>
      </c>
      <c r="G84" s="967"/>
      <c r="H84" s="954">
        <v>0</v>
      </c>
      <c r="I84" s="118">
        <f t="shared" si="31"/>
        <v>0</v>
      </c>
      <c r="J84" s="118">
        <f t="shared" si="31"/>
        <v>0</v>
      </c>
      <c r="K84" s="118">
        <f t="shared" si="31"/>
        <v>0</v>
      </c>
      <c r="L84" s="118">
        <f t="shared" si="31"/>
        <v>0</v>
      </c>
      <c r="M84" s="118">
        <f t="shared" si="31"/>
        <v>0</v>
      </c>
      <c r="N84" s="118">
        <f t="shared" si="31"/>
        <v>0</v>
      </c>
      <c r="O84" s="70"/>
      <c r="P84" s="67">
        <f>H84*tab!E$7</f>
        <v>0</v>
      </c>
      <c r="Q84" s="67">
        <f>I84*tab!F$7</f>
        <v>0</v>
      </c>
      <c r="R84" s="67">
        <f>J84*tab!G$7</f>
        <v>0</v>
      </c>
      <c r="S84" s="67">
        <f>K84*tab!H$7</f>
        <v>0</v>
      </c>
      <c r="T84" s="67">
        <f>L84*tab!I$7</f>
        <v>0</v>
      </c>
      <c r="U84" s="67">
        <f>M84*tab!J$7</f>
        <v>0</v>
      </c>
      <c r="V84" s="67">
        <f>N84*tab!K$7</f>
        <v>0</v>
      </c>
      <c r="W84" s="70"/>
      <c r="X84" s="119">
        <v>0</v>
      </c>
      <c r="Y84" s="119">
        <f t="shared" si="32"/>
        <v>0</v>
      </c>
      <c r="Z84" s="119">
        <f t="shared" si="33"/>
        <v>0</v>
      </c>
      <c r="AA84" s="119">
        <f t="shared" si="33"/>
        <v>0</v>
      </c>
      <c r="AB84" s="119">
        <f t="shared" si="33"/>
        <v>0</v>
      </c>
      <c r="AC84" s="119">
        <f t="shared" si="33"/>
        <v>0</v>
      </c>
      <c r="AD84" s="119">
        <f t="shared" si="33"/>
        <v>0</v>
      </c>
      <c r="AE84" s="70"/>
      <c r="AF84" s="67">
        <f>+H84*tab!D$8</f>
        <v>0</v>
      </c>
      <c r="AG84" s="67">
        <f>+I84*tab!E$8</f>
        <v>0</v>
      </c>
      <c r="AH84" s="67">
        <f>+J84*tab!F$8</f>
        <v>0</v>
      </c>
      <c r="AI84" s="67">
        <f>+K84*tab!G$8</f>
        <v>0</v>
      </c>
      <c r="AJ84" s="67">
        <f>+L84*tab!H$8</f>
        <v>0</v>
      </c>
      <c r="AK84" s="67">
        <f>+M84*tab!I$8</f>
        <v>0</v>
      </c>
      <c r="AL84" s="67">
        <f>+N84*tab!J$8</f>
        <v>0</v>
      </c>
      <c r="AM84" s="70"/>
      <c r="AN84" s="152">
        <v>0</v>
      </c>
      <c r="AO84" s="119">
        <f t="shared" si="30"/>
        <v>0</v>
      </c>
      <c r="AP84" s="119">
        <f t="shared" si="30"/>
        <v>0</v>
      </c>
      <c r="AQ84" s="119">
        <f t="shared" si="21"/>
        <v>0</v>
      </c>
      <c r="AR84" s="119">
        <f t="shared" si="21"/>
        <v>0</v>
      </c>
      <c r="AS84" s="119">
        <f t="shared" si="21"/>
        <v>0</v>
      </c>
      <c r="AT84" s="119">
        <f t="shared" si="21"/>
        <v>0</v>
      </c>
      <c r="AU84" s="91"/>
      <c r="AV84" s="133"/>
    </row>
    <row r="85" spans="2:48" s="112" customFormat="1" x14ac:dyDescent="0.2">
      <c r="B85" s="953"/>
      <c r="C85" s="149"/>
      <c r="D85" s="49">
        <v>71</v>
      </c>
      <c r="E85" s="150" t="s">
        <v>285</v>
      </c>
      <c r="F85" s="831" t="s">
        <v>274</v>
      </c>
      <c r="G85" s="967"/>
      <c r="H85" s="954">
        <v>0</v>
      </c>
      <c r="I85" s="118">
        <f t="shared" si="31"/>
        <v>0</v>
      </c>
      <c r="J85" s="118">
        <f t="shared" si="31"/>
        <v>0</v>
      </c>
      <c r="K85" s="118">
        <f t="shared" si="31"/>
        <v>0</v>
      </c>
      <c r="L85" s="118">
        <f t="shared" si="31"/>
        <v>0</v>
      </c>
      <c r="M85" s="118">
        <f t="shared" si="31"/>
        <v>0</v>
      </c>
      <c r="N85" s="118">
        <f t="shared" si="31"/>
        <v>0</v>
      </c>
      <c r="O85" s="70"/>
      <c r="P85" s="67">
        <f>H85*tab!E$7</f>
        <v>0</v>
      </c>
      <c r="Q85" s="67">
        <f>I85*tab!F$7</f>
        <v>0</v>
      </c>
      <c r="R85" s="67">
        <f>J85*tab!G$7</f>
        <v>0</v>
      </c>
      <c r="S85" s="67">
        <f>K85*tab!H$7</f>
        <v>0</v>
      </c>
      <c r="T85" s="67">
        <f>L85*tab!I$7</f>
        <v>0</v>
      </c>
      <c r="U85" s="67">
        <f>M85*tab!J$7</f>
        <v>0</v>
      </c>
      <c r="V85" s="67">
        <f>N85*tab!K$7</f>
        <v>0</v>
      </c>
      <c r="W85" s="70"/>
      <c r="X85" s="119">
        <v>0</v>
      </c>
      <c r="Y85" s="119">
        <f t="shared" si="32"/>
        <v>0</v>
      </c>
      <c r="Z85" s="119">
        <f t="shared" si="33"/>
        <v>0</v>
      </c>
      <c r="AA85" s="119">
        <f t="shared" si="33"/>
        <v>0</v>
      </c>
      <c r="AB85" s="119">
        <f t="shared" si="33"/>
        <v>0</v>
      </c>
      <c r="AC85" s="119">
        <f t="shared" si="33"/>
        <v>0</v>
      </c>
      <c r="AD85" s="119">
        <f t="shared" si="33"/>
        <v>0</v>
      </c>
      <c r="AE85" s="70"/>
      <c r="AF85" s="67">
        <f>+H85*tab!D$8</f>
        <v>0</v>
      </c>
      <c r="AG85" s="67">
        <f>+I85*tab!E$8</f>
        <v>0</v>
      </c>
      <c r="AH85" s="67">
        <f>+J85*tab!F$8</f>
        <v>0</v>
      </c>
      <c r="AI85" s="67">
        <f>+K85*tab!G$8</f>
        <v>0</v>
      </c>
      <c r="AJ85" s="67">
        <f>+L85*tab!H$8</f>
        <v>0</v>
      </c>
      <c r="AK85" s="67">
        <f>+M85*tab!I$8</f>
        <v>0</v>
      </c>
      <c r="AL85" s="67">
        <f>+N85*tab!J$8</f>
        <v>0</v>
      </c>
      <c r="AM85" s="70"/>
      <c r="AN85" s="152">
        <v>0</v>
      </c>
      <c r="AO85" s="119">
        <f t="shared" si="30"/>
        <v>0</v>
      </c>
      <c r="AP85" s="119">
        <f t="shared" si="30"/>
        <v>0</v>
      </c>
      <c r="AQ85" s="119">
        <f t="shared" si="21"/>
        <v>0</v>
      </c>
      <c r="AR85" s="119">
        <f t="shared" si="21"/>
        <v>0</v>
      </c>
      <c r="AS85" s="119">
        <f t="shared" si="21"/>
        <v>0</v>
      </c>
      <c r="AT85" s="119">
        <f t="shared" si="21"/>
        <v>0</v>
      </c>
      <c r="AU85" s="91"/>
      <c r="AV85" s="133"/>
    </row>
    <row r="86" spans="2:48" s="112" customFormat="1" x14ac:dyDescent="0.2">
      <c r="B86" s="953"/>
      <c r="C86" s="149"/>
      <c r="D86" s="49">
        <v>72</v>
      </c>
      <c r="E86" s="150" t="s">
        <v>286</v>
      </c>
      <c r="F86" s="831" t="s">
        <v>274</v>
      </c>
      <c r="G86" s="967"/>
      <c r="H86" s="954">
        <v>0</v>
      </c>
      <c r="I86" s="118">
        <f t="shared" si="31"/>
        <v>0</v>
      </c>
      <c r="J86" s="118">
        <f t="shared" si="31"/>
        <v>0</v>
      </c>
      <c r="K86" s="118">
        <f t="shared" si="31"/>
        <v>0</v>
      </c>
      <c r="L86" s="118">
        <f t="shared" si="31"/>
        <v>0</v>
      </c>
      <c r="M86" s="118">
        <f t="shared" si="31"/>
        <v>0</v>
      </c>
      <c r="N86" s="118">
        <f t="shared" si="31"/>
        <v>0</v>
      </c>
      <c r="O86" s="70"/>
      <c r="P86" s="67">
        <f>H86*tab!E$7</f>
        <v>0</v>
      </c>
      <c r="Q86" s="67">
        <f>I86*tab!F$7</f>
        <v>0</v>
      </c>
      <c r="R86" s="67">
        <f>J86*tab!G$7</f>
        <v>0</v>
      </c>
      <c r="S86" s="67">
        <f>K86*tab!H$7</f>
        <v>0</v>
      </c>
      <c r="T86" s="67">
        <f>L86*tab!I$7</f>
        <v>0</v>
      </c>
      <c r="U86" s="67">
        <f>M86*tab!J$7</f>
        <v>0</v>
      </c>
      <c r="V86" s="67">
        <f>N86*tab!K$7</f>
        <v>0</v>
      </c>
      <c r="W86" s="70"/>
      <c r="X86" s="119">
        <v>0</v>
      </c>
      <c r="Y86" s="119">
        <f t="shared" si="32"/>
        <v>0</v>
      </c>
      <c r="Z86" s="119">
        <f t="shared" si="33"/>
        <v>0</v>
      </c>
      <c r="AA86" s="119">
        <f t="shared" si="33"/>
        <v>0</v>
      </c>
      <c r="AB86" s="119">
        <f t="shared" si="33"/>
        <v>0</v>
      </c>
      <c r="AC86" s="119">
        <f t="shared" si="33"/>
        <v>0</v>
      </c>
      <c r="AD86" s="119">
        <f t="shared" si="33"/>
        <v>0</v>
      </c>
      <c r="AE86" s="70"/>
      <c r="AF86" s="67">
        <f>+H86*tab!D$8</f>
        <v>0</v>
      </c>
      <c r="AG86" s="67">
        <f>+I86*tab!E$8</f>
        <v>0</v>
      </c>
      <c r="AH86" s="67">
        <f>+J86*tab!F$8</f>
        <v>0</v>
      </c>
      <c r="AI86" s="67">
        <f>+K86*tab!G$8</f>
        <v>0</v>
      </c>
      <c r="AJ86" s="67">
        <f>+L86*tab!H$8</f>
        <v>0</v>
      </c>
      <c r="AK86" s="67">
        <f>+M86*tab!I$8</f>
        <v>0</v>
      </c>
      <c r="AL86" s="67">
        <f>+N86*tab!J$8</f>
        <v>0</v>
      </c>
      <c r="AM86" s="70"/>
      <c r="AN86" s="152">
        <v>0</v>
      </c>
      <c r="AO86" s="119">
        <f t="shared" si="30"/>
        <v>0</v>
      </c>
      <c r="AP86" s="119">
        <f t="shared" si="30"/>
        <v>0</v>
      </c>
      <c r="AQ86" s="119">
        <f t="shared" si="21"/>
        <v>0</v>
      </c>
      <c r="AR86" s="119">
        <f t="shared" si="21"/>
        <v>0</v>
      </c>
      <c r="AS86" s="119">
        <f t="shared" si="21"/>
        <v>0</v>
      </c>
      <c r="AT86" s="119">
        <f t="shared" si="21"/>
        <v>0</v>
      </c>
      <c r="AU86" s="91"/>
      <c r="AV86" s="133"/>
    </row>
    <row r="87" spans="2:48" s="112" customFormat="1" x14ac:dyDescent="0.2">
      <c r="B87" s="953"/>
      <c r="C87" s="149"/>
      <c r="D87" s="49">
        <v>73</v>
      </c>
      <c r="E87" s="150" t="s">
        <v>287</v>
      </c>
      <c r="F87" s="831" t="s">
        <v>274</v>
      </c>
      <c r="G87" s="967"/>
      <c r="H87" s="954">
        <v>0</v>
      </c>
      <c r="I87" s="118">
        <f t="shared" si="31"/>
        <v>0</v>
      </c>
      <c r="J87" s="118">
        <f t="shared" si="31"/>
        <v>0</v>
      </c>
      <c r="K87" s="118">
        <f t="shared" si="31"/>
        <v>0</v>
      </c>
      <c r="L87" s="118">
        <f t="shared" si="31"/>
        <v>0</v>
      </c>
      <c r="M87" s="118">
        <f t="shared" si="31"/>
        <v>0</v>
      </c>
      <c r="N87" s="118">
        <f t="shared" si="31"/>
        <v>0</v>
      </c>
      <c r="O87" s="70"/>
      <c r="P87" s="67">
        <f>H87*tab!E$7</f>
        <v>0</v>
      </c>
      <c r="Q87" s="67">
        <f>I87*tab!F$7</f>
        <v>0</v>
      </c>
      <c r="R87" s="67">
        <f>J87*tab!G$7</f>
        <v>0</v>
      </c>
      <c r="S87" s="67">
        <f>K87*tab!H$7</f>
        <v>0</v>
      </c>
      <c r="T87" s="67">
        <f>L87*tab!I$7</f>
        <v>0</v>
      </c>
      <c r="U87" s="67">
        <f>M87*tab!J$7</f>
        <v>0</v>
      </c>
      <c r="V87" s="67">
        <f>N87*tab!K$7</f>
        <v>0</v>
      </c>
      <c r="W87" s="70"/>
      <c r="X87" s="119">
        <v>0</v>
      </c>
      <c r="Y87" s="119">
        <f t="shared" si="32"/>
        <v>0</v>
      </c>
      <c r="Z87" s="119">
        <f t="shared" si="33"/>
        <v>0</v>
      </c>
      <c r="AA87" s="119">
        <f t="shared" si="33"/>
        <v>0</v>
      </c>
      <c r="AB87" s="119">
        <f t="shared" si="33"/>
        <v>0</v>
      </c>
      <c r="AC87" s="119">
        <f t="shared" si="33"/>
        <v>0</v>
      </c>
      <c r="AD87" s="119">
        <f t="shared" si="33"/>
        <v>0</v>
      </c>
      <c r="AE87" s="70"/>
      <c r="AF87" s="67">
        <f>+H87*tab!D$8</f>
        <v>0</v>
      </c>
      <c r="AG87" s="67">
        <f>+I87*tab!E$8</f>
        <v>0</v>
      </c>
      <c r="AH87" s="67">
        <f>+J87*tab!F$8</f>
        <v>0</v>
      </c>
      <c r="AI87" s="67">
        <f>+K87*tab!G$8</f>
        <v>0</v>
      </c>
      <c r="AJ87" s="67">
        <f>+L87*tab!H$8</f>
        <v>0</v>
      </c>
      <c r="AK87" s="67">
        <f>+M87*tab!I$8</f>
        <v>0</v>
      </c>
      <c r="AL87" s="67">
        <f>+N87*tab!J$8</f>
        <v>0</v>
      </c>
      <c r="AM87" s="70"/>
      <c r="AN87" s="152">
        <v>0</v>
      </c>
      <c r="AO87" s="119">
        <f t="shared" si="30"/>
        <v>0</v>
      </c>
      <c r="AP87" s="119">
        <f t="shared" si="30"/>
        <v>0</v>
      </c>
      <c r="AQ87" s="119">
        <f t="shared" si="21"/>
        <v>0</v>
      </c>
      <c r="AR87" s="119">
        <f t="shared" si="21"/>
        <v>0</v>
      </c>
      <c r="AS87" s="119">
        <f t="shared" si="21"/>
        <v>0</v>
      </c>
      <c r="AT87" s="119">
        <f t="shared" si="21"/>
        <v>0</v>
      </c>
      <c r="AU87" s="91"/>
      <c r="AV87" s="133"/>
    </row>
    <row r="88" spans="2:48" s="112" customFormat="1" x14ac:dyDescent="0.2">
      <c r="B88" s="953"/>
      <c r="C88" s="149"/>
      <c r="D88" s="49">
        <v>74</v>
      </c>
      <c r="E88" s="150" t="s">
        <v>288</v>
      </c>
      <c r="F88" s="831" t="s">
        <v>274</v>
      </c>
      <c r="G88" s="967"/>
      <c r="H88" s="954">
        <v>0</v>
      </c>
      <c r="I88" s="118">
        <f t="shared" si="31"/>
        <v>0</v>
      </c>
      <c r="J88" s="118">
        <f t="shared" si="31"/>
        <v>0</v>
      </c>
      <c r="K88" s="118">
        <f t="shared" si="31"/>
        <v>0</v>
      </c>
      <c r="L88" s="118">
        <f t="shared" si="31"/>
        <v>0</v>
      </c>
      <c r="M88" s="118">
        <f t="shared" si="31"/>
        <v>0</v>
      </c>
      <c r="N88" s="118">
        <f t="shared" si="31"/>
        <v>0</v>
      </c>
      <c r="O88" s="70"/>
      <c r="P88" s="67">
        <f>H88*tab!E$7</f>
        <v>0</v>
      </c>
      <c r="Q88" s="67">
        <f>I88*tab!F$7</f>
        <v>0</v>
      </c>
      <c r="R88" s="67">
        <f>J88*tab!G$7</f>
        <v>0</v>
      </c>
      <c r="S88" s="67">
        <f>K88*tab!H$7</f>
        <v>0</v>
      </c>
      <c r="T88" s="67">
        <f>L88*tab!I$7</f>
        <v>0</v>
      </c>
      <c r="U88" s="67">
        <f>M88*tab!J$7</f>
        <v>0</v>
      </c>
      <c r="V88" s="67">
        <f>N88*tab!K$7</f>
        <v>0</v>
      </c>
      <c r="W88" s="70"/>
      <c r="X88" s="119">
        <v>0</v>
      </c>
      <c r="Y88" s="119">
        <f t="shared" si="32"/>
        <v>0</v>
      </c>
      <c r="Z88" s="119">
        <f t="shared" si="33"/>
        <v>0</v>
      </c>
      <c r="AA88" s="119">
        <f t="shared" si="33"/>
        <v>0</v>
      </c>
      <c r="AB88" s="119">
        <f t="shared" si="33"/>
        <v>0</v>
      </c>
      <c r="AC88" s="119">
        <f t="shared" si="33"/>
        <v>0</v>
      </c>
      <c r="AD88" s="119">
        <f t="shared" si="33"/>
        <v>0</v>
      </c>
      <c r="AE88" s="70"/>
      <c r="AF88" s="67">
        <f>+H88*tab!D$8</f>
        <v>0</v>
      </c>
      <c r="AG88" s="67">
        <f>+I88*tab!E$8</f>
        <v>0</v>
      </c>
      <c r="AH88" s="67">
        <f>+J88*tab!F$8</f>
        <v>0</v>
      </c>
      <c r="AI88" s="67">
        <f>+K88*tab!G$8</f>
        <v>0</v>
      </c>
      <c r="AJ88" s="67">
        <f>+L88*tab!H$8</f>
        <v>0</v>
      </c>
      <c r="AK88" s="67">
        <f>+M88*tab!I$8</f>
        <v>0</v>
      </c>
      <c r="AL88" s="67">
        <f>+N88*tab!J$8</f>
        <v>0</v>
      </c>
      <c r="AM88" s="70"/>
      <c r="AN88" s="152">
        <v>0</v>
      </c>
      <c r="AO88" s="119">
        <f t="shared" ref="AO88:AT107" si="34">AN88</f>
        <v>0</v>
      </c>
      <c r="AP88" s="119">
        <f t="shared" si="34"/>
        <v>0</v>
      </c>
      <c r="AQ88" s="119">
        <f t="shared" si="21"/>
        <v>0</v>
      </c>
      <c r="AR88" s="119">
        <f t="shared" si="21"/>
        <v>0</v>
      </c>
      <c r="AS88" s="119">
        <f t="shared" si="21"/>
        <v>0</v>
      </c>
      <c r="AT88" s="119">
        <f t="shared" si="21"/>
        <v>0</v>
      </c>
      <c r="AU88" s="91"/>
      <c r="AV88" s="133"/>
    </row>
    <row r="89" spans="2:48" s="112" customFormat="1" x14ac:dyDescent="0.2">
      <c r="B89" s="953"/>
      <c r="C89" s="149"/>
      <c r="D89" s="49">
        <v>75</v>
      </c>
      <c r="E89" s="150" t="s">
        <v>289</v>
      </c>
      <c r="F89" s="831" t="s">
        <v>274</v>
      </c>
      <c r="G89" s="967"/>
      <c r="H89" s="954">
        <v>0</v>
      </c>
      <c r="I89" s="118">
        <f t="shared" si="31"/>
        <v>0</v>
      </c>
      <c r="J89" s="118">
        <f t="shared" si="31"/>
        <v>0</v>
      </c>
      <c r="K89" s="118">
        <f t="shared" si="31"/>
        <v>0</v>
      </c>
      <c r="L89" s="118">
        <f t="shared" si="31"/>
        <v>0</v>
      </c>
      <c r="M89" s="118">
        <f t="shared" si="31"/>
        <v>0</v>
      </c>
      <c r="N89" s="118">
        <f t="shared" si="31"/>
        <v>0</v>
      </c>
      <c r="O89" s="70"/>
      <c r="P89" s="67">
        <f>H89*tab!E$7</f>
        <v>0</v>
      </c>
      <c r="Q89" s="67">
        <f>I89*tab!F$7</f>
        <v>0</v>
      </c>
      <c r="R89" s="67">
        <f>J89*tab!G$7</f>
        <v>0</v>
      </c>
      <c r="S89" s="67">
        <f>K89*tab!H$7</f>
        <v>0</v>
      </c>
      <c r="T89" s="67">
        <f>L89*tab!I$7</f>
        <v>0</v>
      </c>
      <c r="U89" s="67">
        <f>M89*tab!J$7</f>
        <v>0</v>
      </c>
      <c r="V89" s="67">
        <f>N89*tab!K$7</f>
        <v>0</v>
      </c>
      <c r="W89" s="70"/>
      <c r="X89" s="119">
        <v>0</v>
      </c>
      <c r="Y89" s="119">
        <f t="shared" si="32"/>
        <v>0</v>
      </c>
      <c r="Z89" s="119">
        <f t="shared" si="33"/>
        <v>0</v>
      </c>
      <c r="AA89" s="119">
        <f t="shared" si="33"/>
        <v>0</v>
      </c>
      <c r="AB89" s="119">
        <f t="shared" si="33"/>
        <v>0</v>
      </c>
      <c r="AC89" s="119">
        <f t="shared" si="33"/>
        <v>0</v>
      </c>
      <c r="AD89" s="119">
        <f t="shared" si="33"/>
        <v>0</v>
      </c>
      <c r="AE89" s="70"/>
      <c r="AF89" s="67">
        <f>+H89*tab!D$8</f>
        <v>0</v>
      </c>
      <c r="AG89" s="67">
        <f>+I89*tab!E$8</f>
        <v>0</v>
      </c>
      <c r="AH89" s="67">
        <f>+J89*tab!F$8</f>
        <v>0</v>
      </c>
      <c r="AI89" s="67">
        <f>+K89*tab!G$8</f>
        <v>0</v>
      </c>
      <c r="AJ89" s="67">
        <f>+L89*tab!H$8</f>
        <v>0</v>
      </c>
      <c r="AK89" s="67">
        <f>+M89*tab!I$8</f>
        <v>0</v>
      </c>
      <c r="AL89" s="67">
        <f>+N89*tab!J$8</f>
        <v>0</v>
      </c>
      <c r="AM89" s="70"/>
      <c r="AN89" s="152">
        <v>0</v>
      </c>
      <c r="AO89" s="119">
        <f t="shared" si="34"/>
        <v>0</v>
      </c>
      <c r="AP89" s="119">
        <f t="shared" si="34"/>
        <v>0</v>
      </c>
      <c r="AQ89" s="119">
        <f t="shared" si="21"/>
        <v>0</v>
      </c>
      <c r="AR89" s="119">
        <f t="shared" si="21"/>
        <v>0</v>
      </c>
      <c r="AS89" s="119">
        <f t="shared" si="21"/>
        <v>0</v>
      </c>
      <c r="AT89" s="119">
        <f t="shared" si="21"/>
        <v>0</v>
      </c>
      <c r="AU89" s="91"/>
      <c r="AV89" s="133"/>
    </row>
    <row r="90" spans="2:48" s="112" customFormat="1" x14ac:dyDescent="0.2">
      <c r="B90" s="953"/>
      <c r="C90" s="149"/>
      <c r="D90" s="49">
        <v>76</v>
      </c>
      <c r="E90" s="150" t="s">
        <v>290</v>
      </c>
      <c r="F90" s="831" t="s">
        <v>274</v>
      </c>
      <c r="G90" s="967"/>
      <c r="H90" s="954">
        <v>0</v>
      </c>
      <c r="I90" s="118">
        <f t="shared" si="31"/>
        <v>0</v>
      </c>
      <c r="J90" s="118">
        <f t="shared" si="31"/>
        <v>0</v>
      </c>
      <c r="K90" s="118">
        <f t="shared" si="31"/>
        <v>0</v>
      </c>
      <c r="L90" s="118">
        <f t="shared" si="31"/>
        <v>0</v>
      </c>
      <c r="M90" s="118">
        <f t="shared" si="31"/>
        <v>0</v>
      </c>
      <c r="N90" s="118">
        <f t="shared" si="31"/>
        <v>0</v>
      </c>
      <c r="O90" s="70"/>
      <c r="P90" s="67">
        <f>H90*tab!E$7</f>
        <v>0</v>
      </c>
      <c r="Q90" s="67">
        <f>I90*tab!F$7</f>
        <v>0</v>
      </c>
      <c r="R90" s="67">
        <f>J90*tab!G$7</f>
        <v>0</v>
      </c>
      <c r="S90" s="67">
        <f>K90*tab!H$7</f>
        <v>0</v>
      </c>
      <c r="T90" s="67">
        <f>L90*tab!I$7</f>
        <v>0</v>
      </c>
      <c r="U90" s="67">
        <f>M90*tab!J$7</f>
        <v>0</v>
      </c>
      <c r="V90" s="67">
        <f>N90*tab!K$7</f>
        <v>0</v>
      </c>
      <c r="W90" s="70"/>
      <c r="X90" s="119">
        <v>0</v>
      </c>
      <c r="Y90" s="119">
        <f t="shared" si="32"/>
        <v>0</v>
      </c>
      <c r="Z90" s="119">
        <f t="shared" si="33"/>
        <v>0</v>
      </c>
      <c r="AA90" s="119">
        <f t="shared" si="33"/>
        <v>0</v>
      </c>
      <c r="AB90" s="119">
        <f t="shared" si="33"/>
        <v>0</v>
      </c>
      <c r="AC90" s="119">
        <f t="shared" si="33"/>
        <v>0</v>
      </c>
      <c r="AD90" s="119">
        <f t="shared" si="33"/>
        <v>0</v>
      </c>
      <c r="AE90" s="70"/>
      <c r="AF90" s="67">
        <f>+H90*tab!D$8</f>
        <v>0</v>
      </c>
      <c r="AG90" s="67">
        <f>+I90*tab!E$8</f>
        <v>0</v>
      </c>
      <c r="AH90" s="67">
        <f>+J90*tab!F$8</f>
        <v>0</v>
      </c>
      <c r="AI90" s="67">
        <f>+K90*tab!G$8</f>
        <v>0</v>
      </c>
      <c r="AJ90" s="67">
        <f>+L90*tab!H$8</f>
        <v>0</v>
      </c>
      <c r="AK90" s="67">
        <f>+M90*tab!I$8</f>
        <v>0</v>
      </c>
      <c r="AL90" s="67">
        <f>+N90*tab!J$8</f>
        <v>0</v>
      </c>
      <c r="AM90" s="70"/>
      <c r="AN90" s="152">
        <v>0</v>
      </c>
      <c r="AO90" s="119">
        <f t="shared" si="34"/>
        <v>0</v>
      </c>
      <c r="AP90" s="119">
        <f t="shared" si="34"/>
        <v>0</v>
      </c>
      <c r="AQ90" s="119">
        <f t="shared" si="21"/>
        <v>0</v>
      </c>
      <c r="AR90" s="119">
        <f t="shared" si="21"/>
        <v>0</v>
      </c>
      <c r="AS90" s="119">
        <f t="shared" si="21"/>
        <v>0</v>
      </c>
      <c r="AT90" s="119">
        <f t="shared" si="21"/>
        <v>0</v>
      </c>
      <c r="AU90" s="91"/>
      <c r="AV90" s="133"/>
    </row>
    <row r="91" spans="2:48" s="112" customFormat="1" x14ac:dyDescent="0.2">
      <c r="B91" s="953"/>
      <c r="C91" s="149"/>
      <c r="D91" s="49">
        <v>77</v>
      </c>
      <c r="E91" s="150" t="s">
        <v>291</v>
      </c>
      <c r="F91" s="831" t="s">
        <v>274</v>
      </c>
      <c r="G91" s="967"/>
      <c r="H91" s="954">
        <v>0</v>
      </c>
      <c r="I91" s="118">
        <f t="shared" si="31"/>
        <v>0</v>
      </c>
      <c r="J91" s="118">
        <f t="shared" si="31"/>
        <v>0</v>
      </c>
      <c r="K91" s="118">
        <f t="shared" si="31"/>
        <v>0</v>
      </c>
      <c r="L91" s="118">
        <f t="shared" si="31"/>
        <v>0</v>
      </c>
      <c r="M91" s="118">
        <f t="shared" si="31"/>
        <v>0</v>
      </c>
      <c r="N91" s="118">
        <f t="shared" si="31"/>
        <v>0</v>
      </c>
      <c r="O91" s="70"/>
      <c r="P91" s="67">
        <f>H91*tab!E$7</f>
        <v>0</v>
      </c>
      <c r="Q91" s="67">
        <f>I91*tab!F$7</f>
        <v>0</v>
      </c>
      <c r="R91" s="67">
        <f>J91*tab!G$7</f>
        <v>0</v>
      </c>
      <c r="S91" s="67">
        <f>K91*tab!H$7</f>
        <v>0</v>
      </c>
      <c r="T91" s="67">
        <f>L91*tab!I$7</f>
        <v>0</v>
      </c>
      <c r="U91" s="67">
        <f>M91*tab!J$7</f>
        <v>0</v>
      </c>
      <c r="V91" s="67">
        <f>N91*tab!K$7</f>
        <v>0</v>
      </c>
      <c r="W91" s="70"/>
      <c r="X91" s="119">
        <v>0</v>
      </c>
      <c r="Y91" s="119">
        <f t="shared" si="32"/>
        <v>0</v>
      </c>
      <c r="Z91" s="119">
        <f t="shared" si="33"/>
        <v>0</v>
      </c>
      <c r="AA91" s="119">
        <f t="shared" si="33"/>
        <v>0</v>
      </c>
      <c r="AB91" s="119">
        <f t="shared" si="33"/>
        <v>0</v>
      </c>
      <c r="AC91" s="119">
        <f t="shared" si="33"/>
        <v>0</v>
      </c>
      <c r="AD91" s="119">
        <f t="shared" si="33"/>
        <v>0</v>
      </c>
      <c r="AE91" s="70"/>
      <c r="AF91" s="67">
        <f>+H91*tab!D$8</f>
        <v>0</v>
      </c>
      <c r="AG91" s="67">
        <f>+I91*tab!E$8</f>
        <v>0</v>
      </c>
      <c r="AH91" s="67">
        <f>+J91*tab!F$8</f>
        <v>0</v>
      </c>
      <c r="AI91" s="67">
        <f>+K91*tab!G$8</f>
        <v>0</v>
      </c>
      <c r="AJ91" s="67">
        <f>+L91*tab!H$8</f>
        <v>0</v>
      </c>
      <c r="AK91" s="67">
        <f>+M91*tab!I$8</f>
        <v>0</v>
      </c>
      <c r="AL91" s="67">
        <f>+N91*tab!J$8</f>
        <v>0</v>
      </c>
      <c r="AM91" s="70"/>
      <c r="AN91" s="152">
        <v>0</v>
      </c>
      <c r="AO91" s="119">
        <f t="shared" si="34"/>
        <v>0</v>
      </c>
      <c r="AP91" s="119">
        <f t="shared" si="34"/>
        <v>0</v>
      </c>
      <c r="AQ91" s="119">
        <f t="shared" si="21"/>
        <v>0</v>
      </c>
      <c r="AR91" s="119">
        <f t="shared" si="21"/>
        <v>0</v>
      </c>
      <c r="AS91" s="119">
        <f t="shared" si="21"/>
        <v>0</v>
      </c>
      <c r="AT91" s="119">
        <f t="shared" si="21"/>
        <v>0</v>
      </c>
      <c r="AU91" s="91"/>
      <c r="AV91" s="133"/>
    </row>
    <row r="92" spans="2:48" s="112" customFormat="1" x14ac:dyDescent="0.2">
      <c r="B92" s="953"/>
      <c r="C92" s="149"/>
      <c r="D92" s="49">
        <v>78</v>
      </c>
      <c r="E92" s="150" t="s">
        <v>292</v>
      </c>
      <c r="F92" s="831" t="s">
        <v>274</v>
      </c>
      <c r="G92" s="967"/>
      <c r="H92" s="954">
        <v>0</v>
      </c>
      <c r="I92" s="118">
        <f t="shared" si="31"/>
        <v>0</v>
      </c>
      <c r="J92" s="118">
        <f t="shared" si="31"/>
        <v>0</v>
      </c>
      <c r="K92" s="118">
        <f t="shared" si="31"/>
        <v>0</v>
      </c>
      <c r="L92" s="118">
        <f t="shared" si="31"/>
        <v>0</v>
      </c>
      <c r="M92" s="118">
        <f t="shared" si="31"/>
        <v>0</v>
      </c>
      <c r="N92" s="118">
        <f t="shared" si="31"/>
        <v>0</v>
      </c>
      <c r="O92" s="70"/>
      <c r="P92" s="67">
        <f>H92*tab!E$7</f>
        <v>0</v>
      </c>
      <c r="Q92" s="67">
        <f>I92*tab!F$7</f>
        <v>0</v>
      </c>
      <c r="R92" s="67">
        <f>J92*tab!G$7</f>
        <v>0</v>
      </c>
      <c r="S92" s="67">
        <f>K92*tab!H$7</f>
        <v>0</v>
      </c>
      <c r="T92" s="67">
        <f>L92*tab!I$7</f>
        <v>0</v>
      </c>
      <c r="U92" s="67">
        <f>M92*tab!J$7</f>
        <v>0</v>
      </c>
      <c r="V92" s="67">
        <f>N92*tab!K$7</f>
        <v>0</v>
      </c>
      <c r="W92" s="70"/>
      <c r="X92" s="119">
        <v>0</v>
      </c>
      <c r="Y92" s="119">
        <f t="shared" si="32"/>
        <v>0</v>
      </c>
      <c r="Z92" s="119">
        <f t="shared" si="33"/>
        <v>0</v>
      </c>
      <c r="AA92" s="119">
        <f t="shared" si="33"/>
        <v>0</v>
      </c>
      <c r="AB92" s="119">
        <f t="shared" si="33"/>
        <v>0</v>
      </c>
      <c r="AC92" s="119">
        <f t="shared" si="33"/>
        <v>0</v>
      </c>
      <c r="AD92" s="119">
        <f t="shared" si="33"/>
        <v>0</v>
      </c>
      <c r="AE92" s="70"/>
      <c r="AF92" s="67">
        <f>+H92*tab!D$8</f>
        <v>0</v>
      </c>
      <c r="AG92" s="67">
        <f>+I92*tab!E$8</f>
        <v>0</v>
      </c>
      <c r="AH92" s="67">
        <f>+J92*tab!F$8</f>
        <v>0</v>
      </c>
      <c r="AI92" s="67">
        <f>+K92*tab!G$8</f>
        <v>0</v>
      </c>
      <c r="AJ92" s="67">
        <f>+L92*tab!H$8</f>
        <v>0</v>
      </c>
      <c r="AK92" s="67">
        <f>+M92*tab!I$8</f>
        <v>0</v>
      </c>
      <c r="AL92" s="67">
        <f>+N92*tab!J$8</f>
        <v>0</v>
      </c>
      <c r="AM92" s="70"/>
      <c r="AN92" s="152">
        <v>0</v>
      </c>
      <c r="AO92" s="119">
        <f t="shared" si="34"/>
        <v>0</v>
      </c>
      <c r="AP92" s="119">
        <f t="shared" si="34"/>
        <v>0</v>
      </c>
      <c r="AQ92" s="119">
        <f t="shared" si="21"/>
        <v>0</v>
      </c>
      <c r="AR92" s="119">
        <f t="shared" si="21"/>
        <v>0</v>
      </c>
      <c r="AS92" s="119">
        <f t="shared" si="21"/>
        <v>0</v>
      </c>
      <c r="AT92" s="119">
        <f t="shared" si="21"/>
        <v>0</v>
      </c>
      <c r="AU92" s="91"/>
      <c r="AV92" s="133"/>
    </row>
    <row r="93" spans="2:48" s="112" customFormat="1" x14ac:dyDescent="0.2">
      <c r="B93" s="953"/>
      <c r="C93" s="149"/>
      <c r="D93" s="49">
        <v>79</v>
      </c>
      <c r="E93" s="150" t="s">
        <v>293</v>
      </c>
      <c r="F93" s="831" t="s">
        <v>274</v>
      </c>
      <c r="G93" s="967"/>
      <c r="H93" s="954">
        <v>0</v>
      </c>
      <c r="I93" s="118">
        <f t="shared" si="31"/>
        <v>0</v>
      </c>
      <c r="J93" s="118">
        <f t="shared" si="31"/>
        <v>0</v>
      </c>
      <c r="K93" s="118">
        <f t="shared" si="31"/>
        <v>0</v>
      </c>
      <c r="L93" s="118">
        <f t="shared" si="31"/>
        <v>0</v>
      </c>
      <c r="M93" s="118">
        <f t="shared" si="31"/>
        <v>0</v>
      </c>
      <c r="N93" s="118">
        <f t="shared" si="31"/>
        <v>0</v>
      </c>
      <c r="O93" s="70"/>
      <c r="P93" s="67">
        <f>H93*tab!E$7</f>
        <v>0</v>
      </c>
      <c r="Q93" s="67">
        <f>I93*tab!F$7</f>
        <v>0</v>
      </c>
      <c r="R93" s="67">
        <f>J93*tab!G$7</f>
        <v>0</v>
      </c>
      <c r="S93" s="67">
        <f>K93*tab!H$7</f>
        <v>0</v>
      </c>
      <c r="T93" s="67">
        <f>L93*tab!I$7</f>
        <v>0</v>
      </c>
      <c r="U93" s="67">
        <f>M93*tab!J$7</f>
        <v>0</v>
      </c>
      <c r="V93" s="67">
        <f>N93*tab!K$7</f>
        <v>0</v>
      </c>
      <c r="W93" s="70"/>
      <c r="X93" s="119">
        <v>0</v>
      </c>
      <c r="Y93" s="119">
        <f t="shared" si="32"/>
        <v>0</v>
      </c>
      <c r="Z93" s="119">
        <f t="shared" si="33"/>
        <v>0</v>
      </c>
      <c r="AA93" s="119">
        <f t="shared" si="33"/>
        <v>0</v>
      </c>
      <c r="AB93" s="119">
        <f t="shared" si="33"/>
        <v>0</v>
      </c>
      <c r="AC93" s="119">
        <f t="shared" si="33"/>
        <v>0</v>
      </c>
      <c r="AD93" s="119">
        <f t="shared" si="33"/>
        <v>0</v>
      </c>
      <c r="AE93" s="70"/>
      <c r="AF93" s="67">
        <f>+H93*tab!D$8</f>
        <v>0</v>
      </c>
      <c r="AG93" s="67">
        <f>+I93*tab!E$8</f>
        <v>0</v>
      </c>
      <c r="AH93" s="67">
        <f>+J93*tab!F$8</f>
        <v>0</v>
      </c>
      <c r="AI93" s="67">
        <f>+K93*tab!G$8</f>
        <v>0</v>
      </c>
      <c r="AJ93" s="67">
        <f>+L93*tab!H$8</f>
        <v>0</v>
      </c>
      <c r="AK93" s="67">
        <f>+M93*tab!I$8</f>
        <v>0</v>
      </c>
      <c r="AL93" s="67">
        <f>+N93*tab!J$8</f>
        <v>0</v>
      </c>
      <c r="AM93" s="70"/>
      <c r="AN93" s="152">
        <v>0</v>
      </c>
      <c r="AO93" s="119">
        <f t="shared" si="34"/>
        <v>0</v>
      </c>
      <c r="AP93" s="119">
        <f t="shared" si="34"/>
        <v>0</v>
      </c>
      <c r="AQ93" s="119">
        <f t="shared" si="21"/>
        <v>0</v>
      </c>
      <c r="AR93" s="119">
        <f t="shared" si="21"/>
        <v>0</v>
      </c>
      <c r="AS93" s="119">
        <f t="shared" si="21"/>
        <v>0</v>
      </c>
      <c r="AT93" s="119">
        <f t="shared" si="21"/>
        <v>0</v>
      </c>
      <c r="AU93" s="91"/>
      <c r="AV93" s="133"/>
    </row>
    <row r="94" spans="2:48" s="112" customFormat="1" x14ac:dyDescent="0.2">
      <c r="B94" s="953"/>
      <c r="C94" s="149"/>
      <c r="D94" s="49">
        <v>80</v>
      </c>
      <c r="E94" s="150" t="s">
        <v>294</v>
      </c>
      <c r="F94" s="831" t="s">
        <v>274</v>
      </c>
      <c r="G94" s="967"/>
      <c r="H94" s="954">
        <v>0</v>
      </c>
      <c r="I94" s="118">
        <f t="shared" si="31"/>
        <v>0</v>
      </c>
      <c r="J94" s="118">
        <f t="shared" si="31"/>
        <v>0</v>
      </c>
      <c r="K94" s="118">
        <f t="shared" si="31"/>
        <v>0</v>
      </c>
      <c r="L94" s="118">
        <f t="shared" si="31"/>
        <v>0</v>
      </c>
      <c r="M94" s="118">
        <f t="shared" si="31"/>
        <v>0</v>
      </c>
      <c r="N94" s="118">
        <f t="shared" si="31"/>
        <v>0</v>
      </c>
      <c r="O94" s="70"/>
      <c r="P94" s="67">
        <f>H94*tab!E$7</f>
        <v>0</v>
      </c>
      <c r="Q94" s="67">
        <f>I94*tab!F$7</f>
        <v>0</v>
      </c>
      <c r="R94" s="67">
        <f>J94*tab!G$7</f>
        <v>0</v>
      </c>
      <c r="S94" s="67">
        <f>K94*tab!H$7</f>
        <v>0</v>
      </c>
      <c r="T94" s="67">
        <f>L94*tab!I$7</f>
        <v>0</v>
      </c>
      <c r="U94" s="67">
        <f>M94*tab!J$7</f>
        <v>0</v>
      </c>
      <c r="V94" s="67">
        <f>N94*tab!K$7</f>
        <v>0</v>
      </c>
      <c r="W94" s="70"/>
      <c r="X94" s="119">
        <v>0</v>
      </c>
      <c r="Y94" s="119">
        <f t="shared" si="32"/>
        <v>0</v>
      </c>
      <c r="Z94" s="119">
        <f t="shared" si="33"/>
        <v>0</v>
      </c>
      <c r="AA94" s="119">
        <f t="shared" si="33"/>
        <v>0</v>
      </c>
      <c r="AB94" s="119">
        <f t="shared" si="33"/>
        <v>0</v>
      </c>
      <c r="AC94" s="119">
        <f t="shared" si="33"/>
        <v>0</v>
      </c>
      <c r="AD94" s="119">
        <f t="shared" si="33"/>
        <v>0</v>
      </c>
      <c r="AE94" s="70"/>
      <c r="AF94" s="67">
        <f>+H94*tab!D$8</f>
        <v>0</v>
      </c>
      <c r="AG94" s="67">
        <f>+I94*tab!E$8</f>
        <v>0</v>
      </c>
      <c r="AH94" s="67">
        <f>+J94*tab!F$8</f>
        <v>0</v>
      </c>
      <c r="AI94" s="67">
        <f>+K94*tab!G$8</f>
        <v>0</v>
      </c>
      <c r="AJ94" s="67">
        <f>+L94*tab!H$8</f>
        <v>0</v>
      </c>
      <c r="AK94" s="67">
        <f>+M94*tab!I$8</f>
        <v>0</v>
      </c>
      <c r="AL94" s="67">
        <f>+N94*tab!J$8</f>
        <v>0</v>
      </c>
      <c r="AM94" s="70"/>
      <c r="AN94" s="152">
        <v>0</v>
      </c>
      <c r="AO94" s="119">
        <f t="shared" si="34"/>
        <v>0</v>
      </c>
      <c r="AP94" s="119">
        <f t="shared" si="34"/>
        <v>0</v>
      </c>
      <c r="AQ94" s="119">
        <f t="shared" si="21"/>
        <v>0</v>
      </c>
      <c r="AR94" s="119">
        <f t="shared" si="21"/>
        <v>0</v>
      </c>
      <c r="AS94" s="119">
        <f t="shared" si="21"/>
        <v>0</v>
      </c>
      <c r="AT94" s="119">
        <f>AS94</f>
        <v>0</v>
      </c>
      <c r="AU94" s="91"/>
      <c r="AV94" s="133"/>
    </row>
    <row r="95" spans="2:48" s="112" customFormat="1" x14ac:dyDescent="0.2">
      <c r="B95" s="953"/>
      <c r="C95" s="149"/>
      <c r="D95" s="49">
        <v>81</v>
      </c>
      <c r="E95" s="150" t="s">
        <v>295</v>
      </c>
      <c r="F95" s="831" t="s">
        <v>274</v>
      </c>
      <c r="G95" s="967"/>
      <c r="H95" s="954">
        <v>0</v>
      </c>
      <c r="I95" s="118">
        <f t="shared" si="31"/>
        <v>0</v>
      </c>
      <c r="J95" s="118">
        <f t="shared" si="31"/>
        <v>0</v>
      </c>
      <c r="K95" s="118">
        <f t="shared" si="31"/>
        <v>0</v>
      </c>
      <c r="L95" s="118">
        <f t="shared" si="31"/>
        <v>0</v>
      </c>
      <c r="M95" s="118">
        <f t="shared" si="31"/>
        <v>0</v>
      </c>
      <c r="N95" s="118">
        <f t="shared" si="31"/>
        <v>0</v>
      </c>
      <c r="O95" s="70"/>
      <c r="P95" s="67">
        <f>H95*tab!E$7</f>
        <v>0</v>
      </c>
      <c r="Q95" s="67">
        <f>I95*tab!F$7</f>
        <v>0</v>
      </c>
      <c r="R95" s="67">
        <f>J95*tab!G$7</f>
        <v>0</v>
      </c>
      <c r="S95" s="67">
        <f>K95*tab!H$7</f>
        <v>0</v>
      </c>
      <c r="T95" s="67">
        <f>L95*tab!I$7</f>
        <v>0</v>
      </c>
      <c r="U95" s="67">
        <f>M95*tab!J$7</f>
        <v>0</v>
      </c>
      <c r="V95" s="67">
        <f>N95*tab!K$7</f>
        <v>0</v>
      </c>
      <c r="W95" s="70"/>
      <c r="X95" s="119">
        <v>0</v>
      </c>
      <c r="Y95" s="119">
        <f t="shared" si="32"/>
        <v>0</v>
      </c>
      <c r="Z95" s="119">
        <f t="shared" si="33"/>
        <v>0</v>
      </c>
      <c r="AA95" s="119">
        <f t="shared" si="33"/>
        <v>0</v>
      </c>
      <c r="AB95" s="119">
        <f t="shared" si="33"/>
        <v>0</v>
      </c>
      <c r="AC95" s="119">
        <f t="shared" si="33"/>
        <v>0</v>
      </c>
      <c r="AD95" s="119">
        <f t="shared" si="33"/>
        <v>0</v>
      </c>
      <c r="AE95" s="70"/>
      <c r="AF95" s="67">
        <f>+H95*tab!D$8</f>
        <v>0</v>
      </c>
      <c r="AG95" s="67">
        <f>+I95*tab!E$8</f>
        <v>0</v>
      </c>
      <c r="AH95" s="67">
        <f>+J95*tab!F$8</f>
        <v>0</v>
      </c>
      <c r="AI95" s="67">
        <f>+K95*tab!G$8</f>
        <v>0</v>
      </c>
      <c r="AJ95" s="67">
        <f>+L95*tab!H$8</f>
        <v>0</v>
      </c>
      <c r="AK95" s="67">
        <f>+M95*tab!I$8</f>
        <v>0</v>
      </c>
      <c r="AL95" s="67">
        <f>+N95*tab!J$8</f>
        <v>0</v>
      </c>
      <c r="AM95" s="70"/>
      <c r="AN95" s="152">
        <v>0</v>
      </c>
      <c r="AO95" s="119">
        <f t="shared" si="34"/>
        <v>0</v>
      </c>
      <c r="AP95" s="119">
        <f t="shared" si="34"/>
        <v>0</v>
      </c>
      <c r="AQ95" s="119">
        <f t="shared" si="34"/>
        <v>0</v>
      </c>
      <c r="AR95" s="119">
        <f t="shared" si="34"/>
        <v>0</v>
      </c>
      <c r="AS95" s="119">
        <f t="shared" si="34"/>
        <v>0</v>
      </c>
      <c r="AT95" s="119">
        <f t="shared" si="34"/>
        <v>0</v>
      </c>
      <c r="AU95" s="91"/>
      <c r="AV95" s="133"/>
    </row>
    <row r="96" spans="2:48" s="112" customFormat="1" x14ac:dyDescent="0.2">
      <c r="B96" s="953"/>
      <c r="C96" s="149"/>
      <c r="D96" s="49">
        <v>82</v>
      </c>
      <c r="E96" s="150" t="s">
        <v>296</v>
      </c>
      <c r="F96" s="831" t="s">
        <v>274</v>
      </c>
      <c r="G96" s="967"/>
      <c r="H96" s="954">
        <v>0</v>
      </c>
      <c r="I96" s="118">
        <f t="shared" si="31"/>
        <v>0</v>
      </c>
      <c r="J96" s="118">
        <f t="shared" si="31"/>
        <v>0</v>
      </c>
      <c r="K96" s="118">
        <f t="shared" si="31"/>
        <v>0</v>
      </c>
      <c r="L96" s="118">
        <f t="shared" si="31"/>
        <v>0</v>
      </c>
      <c r="M96" s="118">
        <f t="shared" si="31"/>
        <v>0</v>
      </c>
      <c r="N96" s="118">
        <f t="shared" si="31"/>
        <v>0</v>
      </c>
      <c r="O96" s="70"/>
      <c r="P96" s="67">
        <f>H96*tab!E$7</f>
        <v>0</v>
      </c>
      <c r="Q96" s="67">
        <f>I96*tab!F$7</f>
        <v>0</v>
      </c>
      <c r="R96" s="67">
        <f>J96*tab!G$7</f>
        <v>0</v>
      </c>
      <c r="S96" s="67">
        <f>K96*tab!H$7</f>
        <v>0</v>
      </c>
      <c r="T96" s="67">
        <f>L96*tab!I$7</f>
        <v>0</v>
      </c>
      <c r="U96" s="67">
        <f>M96*tab!J$7</f>
        <v>0</v>
      </c>
      <c r="V96" s="67">
        <f>N96*tab!K$7</f>
        <v>0</v>
      </c>
      <c r="W96" s="70"/>
      <c r="X96" s="119">
        <v>0</v>
      </c>
      <c r="Y96" s="119">
        <f t="shared" si="32"/>
        <v>0</v>
      </c>
      <c r="Z96" s="119">
        <f t="shared" si="33"/>
        <v>0</v>
      </c>
      <c r="AA96" s="119">
        <f t="shared" si="33"/>
        <v>0</v>
      </c>
      <c r="AB96" s="119">
        <f t="shared" si="33"/>
        <v>0</v>
      </c>
      <c r="AC96" s="119">
        <f t="shared" si="33"/>
        <v>0</v>
      </c>
      <c r="AD96" s="119">
        <f t="shared" si="33"/>
        <v>0</v>
      </c>
      <c r="AE96" s="70"/>
      <c r="AF96" s="67">
        <f>+H96*tab!D$8</f>
        <v>0</v>
      </c>
      <c r="AG96" s="67">
        <f>+I96*tab!E$8</f>
        <v>0</v>
      </c>
      <c r="AH96" s="67">
        <f>+J96*tab!F$8</f>
        <v>0</v>
      </c>
      <c r="AI96" s="67">
        <f>+K96*tab!G$8</f>
        <v>0</v>
      </c>
      <c r="AJ96" s="67">
        <f>+L96*tab!H$8</f>
        <v>0</v>
      </c>
      <c r="AK96" s="67">
        <f>+M96*tab!I$8</f>
        <v>0</v>
      </c>
      <c r="AL96" s="67">
        <f>+N96*tab!J$8</f>
        <v>0</v>
      </c>
      <c r="AM96" s="70"/>
      <c r="AN96" s="152">
        <v>0</v>
      </c>
      <c r="AO96" s="119">
        <f t="shared" si="34"/>
        <v>0</v>
      </c>
      <c r="AP96" s="119">
        <f t="shared" si="34"/>
        <v>0</v>
      </c>
      <c r="AQ96" s="119">
        <f t="shared" si="34"/>
        <v>0</v>
      </c>
      <c r="AR96" s="119">
        <f t="shared" si="34"/>
        <v>0</v>
      </c>
      <c r="AS96" s="119">
        <f t="shared" si="34"/>
        <v>0</v>
      </c>
      <c r="AT96" s="119">
        <f t="shared" si="34"/>
        <v>0</v>
      </c>
      <c r="AU96" s="91"/>
      <c r="AV96" s="133"/>
    </row>
    <row r="97" spans="2:48" s="112" customFormat="1" x14ac:dyDescent="0.2">
      <c r="B97" s="953"/>
      <c r="C97" s="149"/>
      <c r="D97" s="49">
        <v>83</v>
      </c>
      <c r="E97" s="150" t="s">
        <v>297</v>
      </c>
      <c r="F97" s="831" t="s">
        <v>274</v>
      </c>
      <c r="G97" s="967"/>
      <c r="H97" s="954">
        <v>0</v>
      </c>
      <c r="I97" s="118">
        <f t="shared" ref="I97:N116" si="35">H97</f>
        <v>0</v>
      </c>
      <c r="J97" s="118">
        <f t="shared" si="35"/>
        <v>0</v>
      </c>
      <c r="K97" s="118">
        <f t="shared" si="35"/>
        <v>0</v>
      </c>
      <c r="L97" s="118">
        <f t="shared" si="35"/>
        <v>0</v>
      </c>
      <c r="M97" s="118">
        <f t="shared" si="35"/>
        <v>0</v>
      </c>
      <c r="N97" s="118">
        <f t="shared" si="35"/>
        <v>0</v>
      </c>
      <c r="O97" s="70"/>
      <c r="P97" s="67">
        <f>H97*tab!E$7</f>
        <v>0</v>
      </c>
      <c r="Q97" s="67">
        <f>I97*tab!F$7</f>
        <v>0</v>
      </c>
      <c r="R97" s="67">
        <f>J97*tab!G$7</f>
        <v>0</v>
      </c>
      <c r="S97" s="67">
        <f>K97*tab!H$7</f>
        <v>0</v>
      </c>
      <c r="T97" s="67">
        <f>L97*tab!I$7</f>
        <v>0</v>
      </c>
      <c r="U97" s="67">
        <f>M97*tab!J$7</f>
        <v>0</v>
      </c>
      <c r="V97" s="67">
        <f>N97*tab!K$7</f>
        <v>0</v>
      </c>
      <c r="W97" s="70"/>
      <c r="X97" s="119">
        <v>0</v>
      </c>
      <c r="Y97" s="119">
        <f t="shared" si="32"/>
        <v>0</v>
      </c>
      <c r="Z97" s="119">
        <f t="shared" si="33"/>
        <v>0</v>
      </c>
      <c r="AA97" s="119">
        <f t="shared" si="33"/>
        <v>0</v>
      </c>
      <c r="AB97" s="119">
        <f t="shared" si="33"/>
        <v>0</v>
      </c>
      <c r="AC97" s="119">
        <f t="shared" si="33"/>
        <v>0</v>
      </c>
      <c r="AD97" s="119">
        <f t="shared" si="33"/>
        <v>0</v>
      </c>
      <c r="AE97" s="70"/>
      <c r="AF97" s="67">
        <f>+H97*tab!D$8</f>
        <v>0</v>
      </c>
      <c r="AG97" s="67">
        <f>+I97*tab!E$8</f>
        <v>0</v>
      </c>
      <c r="AH97" s="67">
        <f>+J97*tab!F$8</f>
        <v>0</v>
      </c>
      <c r="AI97" s="67">
        <f>+K97*tab!G$8</f>
        <v>0</v>
      </c>
      <c r="AJ97" s="67">
        <f>+L97*tab!H$8</f>
        <v>0</v>
      </c>
      <c r="AK97" s="67">
        <f>+M97*tab!I$8</f>
        <v>0</v>
      </c>
      <c r="AL97" s="67">
        <f>+N97*tab!J$8</f>
        <v>0</v>
      </c>
      <c r="AM97" s="70"/>
      <c r="AN97" s="152">
        <v>0</v>
      </c>
      <c r="AO97" s="119">
        <f t="shared" si="34"/>
        <v>0</v>
      </c>
      <c r="AP97" s="119">
        <f t="shared" si="34"/>
        <v>0</v>
      </c>
      <c r="AQ97" s="119">
        <f t="shared" si="34"/>
        <v>0</v>
      </c>
      <c r="AR97" s="119">
        <f t="shared" si="34"/>
        <v>0</v>
      </c>
      <c r="AS97" s="119">
        <f t="shared" si="34"/>
        <v>0</v>
      </c>
      <c r="AT97" s="119">
        <f t="shared" si="34"/>
        <v>0</v>
      </c>
      <c r="AU97" s="91"/>
      <c r="AV97" s="133"/>
    </row>
    <row r="98" spans="2:48" s="112" customFormat="1" x14ac:dyDescent="0.2">
      <c r="B98" s="953"/>
      <c r="C98" s="149"/>
      <c r="D98" s="49">
        <v>84</v>
      </c>
      <c r="E98" s="150" t="s">
        <v>298</v>
      </c>
      <c r="F98" s="831" t="s">
        <v>274</v>
      </c>
      <c r="G98" s="967"/>
      <c r="H98" s="954">
        <v>0</v>
      </c>
      <c r="I98" s="118">
        <f t="shared" si="35"/>
        <v>0</v>
      </c>
      <c r="J98" s="118">
        <f t="shared" si="35"/>
        <v>0</v>
      </c>
      <c r="K98" s="118">
        <f t="shared" si="35"/>
        <v>0</v>
      </c>
      <c r="L98" s="118">
        <f t="shared" si="35"/>
        <v>0</v>
      </c>
      <c r="M98" s="118">
        <f t="shared" si="35"/>
        <v>0</v>
      </c>
      <c r="N98" s="118">
        <f t="shared" si="35"/>
        <v>0</v>
      </c>
      <c r="O98" s="70"/>
      <c r="P98" s="67">
        <f>H98*tab!E$7</f>
        <v>0</v>
      </c>
      <c r="Q98" s="67">
        <f>I98*tab!F$7</f>
        <v>0</v>
      </c>
      <c r="R98" s="67">
        <f>J98*tab!G$7</f>
        <v>0</v>
      </c>
      <c r="S98" s="67">
        <f>K98*tab!H$7</f>
        <v>0</v>
      </c>
      <c r="T98" s="67">
        <f>L98*tab!I$7</f>
        <v>0</v>
      </c>
      <c r="U98" s="67">
        <f>M98*tab!J$7</f>
        <v>0</v>
      </c>
      <c r="V98" s="67">
        <f>N98*tab!K$7</f>
        <v>0</v>
      </c>
      <c r="W98" s="70"/>
      <c r="X98" s="119">
        <v>0</v>
      </c>
      <c r="Y98" s="119">
        <f t="shared" si="32"/>
        <v>0</v>
      </c>
      <c r="Z98" s="119">
        <f t="shared" si="33"/>
        <v>0</v>
      </c>
      <c r="AA98" s="119">
        <f t="shared" si="33"/>
        <v>0</v>
      </c>
      <c r="AB98" s="119">
        <f t="shared" si="33"/>
        <v>0</v>
      </c>
      <c r="AC98" s="119">
        <f t="shared" si="33"/>
        <v>0</v>
      </c>
      <c r="AD98" s="119">
        <f t="shared" si="33"/>
        <v>0</v>
      </c>
      <c r="AE98" s="70"/>
      <c r="AF98" s="67">
        <f>+H98*tab!D$8</f>
        <v>0</v>
      </c>
      <c r="AG98" s="67">
        <f>+I98*tab!E$8</f>
        <v>0</v>
      </c>
      <c r="AH98" s="67">
        <f>+J98*tab!F$8</f>
        <v>0</v>
      </c>
      <c r="AI98" s="67">
        <f>+K98*tab!G$8</f>
        <v>0</v>
      </c>
      <c r="AJ98" s="67">
        <f>+L98*tab!H$8</f>
        <v>0</v>
      </c>
      <c r="AK98" s="67">
        <f>+M98*tab!I$8</f>
        <v>0</v>
      </c>
      <c r="AL98" s="67">
        <f>+N98*tab!J$8</f>
        <v>0</v>
      </c>
      <c r="AM98" s="70"/>
      <c r="AN98" s="152">
        <v>0</v>
      </c>
      <c r="AO98" s="119">
        <f t="shared" si="34"/>
        <v>0</v>
      </c>
      <c r="AP98" s="119">
        <f t="shared" si="34"/>
        <v>0</v>
      </c>
      <c r="AQ98" s="119">
        <f t="shared" si="34"/>
        <v>0</v>
      </c>
      <c r="AR98" s="119">
        <f t="shared" si="34"/>
        <v>0</v>
      </c>
      <c r="AS98" s="119">
        <f t="shared" si="34"/>
        <v>0</v>
      </c>
      <c r="AT98" s="119">
        <f t="shared" si="34"/>
        <v>0</v>
      </c>
      <c r="AU98" s="91"/>
      <c r="AV98" s="133"/>
    </row>
    <row r="99" spans="2:48" s="112" customFormat="1" x14ac:dyDescent="0.2">
      <c r="B99" s="953"/>
      <c r="C99" s="149"/>
      <c r="D99" s="49">
        <v>85</v>
      </c>
      <c r="E99" s="150" t="s">
        <v>299</v>
      </c>
      <c r="F99" s="831" t="s">
        <v>274</v>
      </c>
      <c r="G99" s="967"/>
      <c r="H99" s="954">
        <v>0</v>
      </c>
      <c r="I99" s="118">
        <f t="shared" si="35"/>
        <v>0</v>
      </c>
      <c r="J99" s="118">
        <f t="shared" si="35"/>
        <v>0</v>
      </c>
      <c r="K99" s="118">
        <f t="shared" si="35"/>
        <v>0</v>
      </c>
      <c r="L99" s="118">
        <f t="shared" si="35"/>
        <v>0</v>
      </c>
      <c r="M99" s="118">
        <f t="shared" si="35"/>
        <v>0</v>
      </c>
      <c r="N99" s="118">
        <f t="shared" si="35"/>
        <v>0</v>
      </c>
      <c r="O99" s="70"/>
      <c r="P99" s="67">
        <f>H99*tab!E$7</f>
        <v>0</v>
      </c>
      <c r="Q99" s="67">
        <f>I99*tab!F$7</f>
        <v>0</v>
      </c>
      <c r="R99" s="67">
        <f>J99*tab!G$7</f>
        <v>0</v>
      </c>
      <c r="S99" s="67">
        <f>K99*tab!H$7</f>
        <v>0</v>
      </c>
      <c r="T99" s="67">
        <f>L99*tab!I$7</f>
        <v>0</v>
      </c>
      <c r="U99" s="67">
        <f>M99*tab!J$7</f>
        <v>0</v>
      </c>
      <c r="V99" s="67">
        <f>N99*tab!K$7</f>
        <v>0</v>
      </c>
      <c r="W99" s="70"/>
      <c r="X99" s="119">
        <v>0</v>
      </c>
      <c r="Y99" s="119">
        <f t="shared" si="32"/>
        <v>0</v>
      </c>
      <c r="Z99" s="119">
        <f t="shared" si="33"/>
        <v>0</v>
      </c>
      <c r="AA99" s="119">
        <f t="shared" si="33"/>
        <v>0</v>
      </c>
      <c r="AB99" s="119">
        <f t="shared" si="33"/>
        <v>0</v>
      </c>
      <c r="AC99" s="119">
        <f t="shared" si="33"/>
        <v>0</v>
      </c>
      <c r="AD99" s="119">
        <f t="shared" si="33"/>
        <v>0</v>
      </c>
      <c r="AE99" s="70"/>
      <c r="AF99" s="67">
        <f>+H99*tab!D$8</f>
        <v>0</v>
      </c>
      <c r="AG99" s="67">
        <f>+I99*tab!E$8</f>
        <v>0</v>
      </c>
      <c r="AH99" s="67">
        <f>+J99*tab!F$8</f>
        <v>0</v>
      </c>
      <c r="AI99" s="67">
        <f>+K99*tab!G$8</f>
        <v>0</v>
      </c>
      <c r="AJ99" s="67">
        <f>+L99*tab!H$8</f>
        <v>0</v>
      </c>
      <c r="AK99" s="67">
        <f>+M99*tab!I$8</f>
        <v>0</v>
      </c>
      <c r="AL99" s="67">
        <f>+N99*tab!J$8</f>
        <v>0</v>
      </c>
      <c r="AM99" s="70"/>
      <c r="AN99" s="152">
        <v>0</v>
      </c>
      <c r="AO99" s="119">
        <f t="shared" si="34"/>
        <v>0</v>
      </c>
      <c r="AP99" s="119">
        <f t="shared" si="34"/>
        <v>0</v>
      </c>
      <c r="AQ99" s="119">
        <f t="shared" si="34"/>
        <v>0</v>
      </c>
      <c r="AR99" s="119">
        <f t="shared" si="34"/>
        <v>0</v>
      </c>
      <c r="AS99" s="119">
        <f t="shared" si="34"/>
        <v>0</v>
      </c>
      <c r="AT99" s="119">
        <f t="shared" si="34"/>
        <v>0</v>
      </c>
      <c r="AU99" s="91"/>
      <c r="AV99" s="133"/>
    </row>
    <row r="100" spans="2:48" s="112" customFormat="1" x14ac:dyDescent="0.2">
      <c r="B100" s="953"/>
      <c r="C100" s="149"/>
      <c r="D100" s="49">
        <v>86</v>
      </c>
      <c r="E100" s="150" t="s">
        <v>300</v>
      </c>
      <c r="F100" s="831" t="s">
        <v>274</v>
      </c>
      <c r="G100" s="967"/>
      <c r="H100" s="954">
        <v>0</v>
      </c>
      <c r="I100" s="118">
        <f t="shared" si="35"/>
        <v>0</v>
      </c>
      <c r="J100" s="118">
        <f t="shared" si="35"/>
        <v>0</v>
      </c>
      <c r="K100" s="118">
        <f t="shared" si="35"/>
        <v>0</v>
      </c>
      <c r="L100" s="118">
        <f t="shared" si="35"/>
        <v>0</v>
      </c>
      <c r="M100" s="118">
        <f t="shared" si="35"/>
        <v>0</v>
      </c>
      <c r="N100" s="118">
        <f t="shared" si="35"/>
        <v>0</v>
      </c>
      <c r="O100" s="70"/>
      <c r="P100" s="67">
        <f>H100*tab!E$7</f>
        <v>0</v>
      </c>
      <c r="Q100" s="67">
        <f>I100*tab!F$7</f>
        <v>0</v>
      </c>
      <c r="R100" s="67">
        <f>J100*tab!G$7</f>
        <v>0</v>
      </c>
      <c r="S100" s="67">
        <f>K100*tab!H$7</f>
        <v>0</v>
      </c>
      <c r="T100" s="67">
        <f>L100*tab!I$7</f>
        <v>0</v>
      </c>
      <c r="U100" s="67">
        <f>M100*tab!J$7</f>
        <v>0</v>
      </c>
      <c r="V100" s="67">
        <f>N100*tab!K$7</f>
        <v>0</v>
      </c>
      <c r="W100" s="70"/>
      <c r="X100" s="119">
        <v>0</v>
      </c>
      <c r="Y100" s="119">
        <f t="shared" si="32"/>
        <v>0</v>
      </c>
      <c r="Z100" s="119">
        <f t="shared" si="33"/>
        <v>0</v>
      </c>
      <c r="AA100" s="119">
        <f t="shared" si="33"/>
        <v>0</v>
      </c>
      <c r="AB100" s="119">
        <f t="shared" si="33"/>
        <v>0</v>
      </c>
      <c r="AC100" s="119">
        <f t="shared" si="33"/>
        <v>0</v>
      </c>
      <c r="AD100" s="119">
        <f t="shared" si="33"/>
        <v>0</v>
      </c>
      <c r="AE100" s="70"/>
      <c r="AF100" s="67">
        <f>+H100*tab!D$8</f>
        <v>0</v>
      </c>
      <c r="AG100" s="67">
        <f>+I100*tab!E$8</f>
        <v>0</v>
      </c>
      <c r="AH100" s="67">
        <f>+J100*tab!F$8</f>
        <v>0</v>
      </c>
      <c r="AI100" s="67">
        <f>+K100*tab!G$8</f>
        <v>0</v>
      </c>
      <c r="AJ100" s="67">
        <f>+L100*tab!H$8</f>
        <v>0</v>
      </c>
      <c r="AK100" s="67">
        <f>+M100*tab!I$8</f>
        <v>0</v>
      </c>
      <c r="AL100" s="67">
        <f>+N100*tab!J$8</f>
        <v>0</v>
      </c>
      <c r="AM100" s="70"/>
      <c r="AN100" s="152">
        <v>0</v>
      </c>
      <c r="AO100" s="119">
        <f t="shared" si="34"/>
        <v>0</v>
      </c>
      <c r="AP100" s="119">
        <f t="shared" si="34"/>
        <v>0</v>
      </c>
      <c r="AQ100" s="119">
        <f t="shared" si="34"/>
        <v>0</v>
      </c>
      <c r="AR100" s="119">
        <f t="shared" si="34"/>
        <v>0</v>
      </c>
      <c r="AS100" s="119">
        <f t="shared" si="34"/>
        <v>0</v>
      </c>
      <c r="AT100" s="119">
        <f t="shared" si="34"/>
        <v>0</v>
      </c>
      <c r="AU100" s="91"/>
      <c r="AV100" s="133"/>
    </row>
    <row r="101" spans="2:48" s="112" customFormat="1" x14ac:dyDescent="0.2">
      <c r="B101" s="953"/>
      <c r="C101" s="149"/>
      <c r="D101" s="49">
        <v>87</v>
      </c>
      <c r="E101" s="150" t="s">
        <v>301</v>
      </c>
      <c r="F101" s="831" t="s">
        <v>274</v>
      </c>
      <c r="G101" s="967"/>
      <c r="H101" s="954">
        <v>0</v>
      </c>
      <c r="I101" s="118">
        <f t="shared" si="35"/>
        <v>0</v>
      </c>
      <c r="J101" s="118">
        <f t="shared" si="35"/>
        <v>0</v>
      </c>
      <c r="K101" s="118">
        <f t="shared" si="35"/>
        <v>0</v>
      </c>
      <c r="L101" s="118">
        <f t="shared" si="35"/>
        <v>0</v>
      </c>
      <c r="M101" s="118">
        <f t="shared" si="35"/>
        <v>0</v>
      </c>
      <c r="N101" s="118">
        <f t="shared" si="35"/>
        <v>0</v>
      </c>
      <c r="O101" s="70"/>
      <c r="P101" s="67">
        <f>H101*tab!E$7</f>
        <v>0</v>
      </c>
      <c r="Q101" s="67">
        <f>I101*tab!F$7</f>
        <v>0</v>
      </c>
      <c r="R101" s="67">
        <f>J101*tab!G$7</f>
        <v>0</v>
      </c>
      <c r="S101" s="67">
        <f>K101*tab!H$7</f>
        <v>0</v>
      </c>
      <c r="T101" s="67">
        <f>L101*tab!I$7</f>
        <v>0</v>
      </c>
      <c r="U101" s="67">
        <f>M101*tab!J$7</f>
        <v>0</v>
      </c>
      <c r="V101" s="67">
        <f>N101*tab!K$7</f>
        <v>0</v>
      </c>
      <c r="W101" s="70"/>
      <c r="X101" s="119">
        <v>0</v>
      </c>
      <c r="Y101" s="119">
        <f t="shared" si="32"/>
        <v>0</v>
      </c>
      <c r="Z101" s="119">
        <f t="shared" si="33"/>
        <v>0</v>
      </c>
      <c r="AA101" s="119">
        <f t="shared" si="33"/>
        <v>0</v>
      </c>
      <c r="AB101" s="119">
        <f t="shared" si="33"/>
        <v>0</v>
      </c>
      <c r="AC101" s="119">
        <f t="shared" si="33"/>
        <v>0</v>
      </c>
      <c r="AD101" s="119">
        <f t="shared" si="33"/>
        <v>0</v>
      </c>
      <c r="AE101" s="70"/>
      <c r="AF101" s="67">
        <f>+H101*tab!D$8</f>
        <v>0</v>
      </c>
      <c r="AG101" s="67">
        <f>+I101*tab!E$8</f>
        <v>0</v>
      </c>
      <c r="AH101" s="67">
        <f>+J101*tab!F$8</f>
        <v>0</v>
      </c>
      <c r="AI101" s="67">
        <f>+K101*tab!G$8</f>
        <v>0</v>
      </c>
      <c r="AJ101" s="67">
        <f>+L101*tab!H$8</f>
        <v>0</v>
      </c>
      <c r="AK101" s="67">
        <f>+M101*tab!I$8</f>
        <v>0</v>
      </c>
      <c r="AL101" s="67">
        <f>+N101*tab!J$8</f>
        <v>0</v>
      </c>
      <c r="AM101" s="70"/>
      <c r="AN101" s="152">
        <v>0</v>
      </c>
      <c r="AO101" s="119">
        <f t="shared" si="34"/>
        <v>0</v>
      </c>
      <c r="AP101" s="119">
        <f t="shared" si="34"/>
        <v>0</v>
      </c>
      <c r="AQ101" s="119">
        <f t="shared" si="34"/>
        <v>0</v>
      </c>
      <c r="AR101" s="119">
        <f t="shared" si="34"/>
        <v>0</v>
      </c>
      <c r="AS101" s="119">
        <f t="shared" si="34"/>
        <v>0</v>
      </c>
      <c r="AT101" s="119">
        <f t="shared" si="34"/>
        <v>0</v>
      </c>
      <c r="AU101" s="91"/>
      <c r="AV101" s="133"/>
    </row>
    <row r="102" spans="2:48" s="112" customFormat="1" x14ac:dyDescent="0.2">
      <c r="B102" s="953"/>
      <c r="C102" s="149"/>
      <c r="D102" s="49">
        <v>88</v>
      </c>
      <c r="E102" s="150" t="s">
        <v>302</v>
      </c>
      <c r="F102" s="831" t="s">
        <v>274</v>
      </c>
      <c r="G102" s="967"/>
      <c r="H102" s="954">
        <v>0</v>
      </c>
      <c r="I102" s="118">
        <f t="shared" si="35"/>
        <v>0</v>
      </c>
      <c r="J102" s="118">
        <f t="shared" si="35"/>
        <v>0</v>
      </c>
      <c r="K102" s="118">
        <f t="shared" si="35"/>
        <v>0</v>
      </c>
      <c r="L102" s="118">
        <f t="shared" si="35"/>
        <v>0</v>
      </c>
      <c r="M102" s="118">
        <f t="shared" si="35"/>
        <v>0</v>
      </c>
      <c r="N102" s="118">
        <f t="shared" si="35"/>
        <v>0</v>
      </c>
      <c r="O102" s="70"/>
      <c r="P102" s="67">
        <f>H102*tab!E$7</f>
        <v>0</v>
      </c>
      <c r="Q102" s="67">
        <f>I102*tab!F$7</f>
        <v>0</v>
      </c>
      <c r="R102" s="67">
        <f>J102*tab!G$7</f>
        <v>0</v>
      </c>
      <c r="S102" s="67">
        <f>K102*tab!H$7</f>
        <v>0</v>
      </c>
      <c r="T102" s="67">
        <f>L102*tab!I$7</f>
        <v>0</v>
      </c>
      <c r="U102" s="67">
        <f>M102*tab!J$7</f>
        <v>0</v>
      </c>
      <c r="V102" s="67">
        <f>N102*tab!K$7</f>
        <v>0</v>
      </c>
      <c r="W102" s="70"/>
      <c r="X102" s="119">
        <v>0</v>
      </c>
      <c r="Y102" s="119">
        <f t="shared" si="32"/>
        <v>0</v>
      </c>
      <c r="Z102" s="119">
        <f t="shared" si="33"/>
        <v>0</v>
      </c>
      <c r="AA102" s="119">
        <f t="shared" si="33"/>
        <v>0</v>
      </c>
      <c r="AB102" s="119">
        <f t="shared" si="33"/>
        <v>0</v>
      </c>
      <c r="AC102" s="119">
        <f t="shared" si="33"/>
        <v>0</v>
      </c>
      <c r="AD102" s="119">
        <f t="shared" si="33"/>
        <v>0</v>
      </c>
      <c r="AE102" s="70"/>
      <c r="AF102" s="67">
        <f>+H102*tab!D$8</f>
        <v>0</v>
      </c>
      <c r="AG102" s="67">
        <f>+I102*tab!E$8</f>
        <v>0</v>
      </c>
      <c r="AH102" s="67">
        <f>+J102*tab!F$8</f>
        <v>0</v>
      </c>
      <c r="AI102" s="67">
        <f>+K102*tab!G$8</f>
        <v>0</v>
      </c>
      <c r="AJ102" s="67">
        <f>+L102*tab!H$8</f>
        <v>0</v>
      </c>
      <c r="AK102" s="67">
        <f>+M102*tab!I$8</f>
        <v>0</v>
      </c>
      <c r="AL102" s="67">
        <f>+N102*tab!J$8</f>
        <v>0</v>
      </c>
      <c r="AM102" s="70"/>
      <c r="AN102" s="152">
        <v>0</v>
      </c>
      <c r="AO102" s="119">
        <f t="shared" si="34"/>
        <v>0</v>
      </c>
      <c r="AP102" s="119">
        <f t="shared" si="34"/>
        <v>0</v>
      </c>
      <c r="AQ102" s="119">
        <f t="shared" si="34"/>
        <v>0</v>
      </c>
      <c r="AR102" s="119">
        <f t="shared" si="34"/>
        <v>0</v>
      </c>
      <c r="AS102" s="119">
        <f t="shared" si="34"/>
        <v>0</v>
      </c>
      <c r="AT102" s="119">
        <f t="shared" si="34"/>
        <v>0</v>
      </c>
      <c r="AU102" s="91"/>
      <c r="AV102" s="133"/>
    </row>
    <row r="103" spans="2:48" s="112" customFormat="1" x14ac:dyDescent="0.2">
      <c r="B103" s="953"/>
      <c r="C103" s="149"/>
      <c r="D103" s="49">
        <v>89</v>
      </c>
      <c r="E103" s="150" t="s">
        <v>303</v>
      </c>
      <c r="F103" s="831" t="s">
        <v>274</v>
      </c>
      <c r="G103" s="967"/>
      <c r="H103" s="954">
        <v>0</v>
      </c>
      <c r="I103" s="118">
        <f t="shared" si="35"/>
        <v>0</v>
      </c>
      <c r="J103" s="118">
        <f t="shared" si="35"/>
        <v>0</v>
      </c>
      <c r="K103" s="118">
        <f t="shared" si="35"/>
        <v>0</v>
      </c>
      <c r="L103" s="118">
        <f t="shared" si="35"/>
        <v>0</v>
      </c>
      <c r="M103" s="118">
        <f t="shared" si="35"/>
        <v>0</v>
      </c>
      <c r="N103" s="118">
        <f t="shared" si="35"/>
        <v>0</v>
      </c>
      <c r="O103" s="70"/>
      <c r="P103" s="67">
        <f>H103*tab!E$7</f>
        <v>0</v>
      </c>
      <c r="Q103" s="67">
        <f>I103*tab!F$7</f>
        <v>0</v>
      </c>
      <c r="R103" s="67">
        <f>J103*tab!G$7</f>
        <v>0</v>
      </c>
      <c r="S103" s="67">
        <f>K103*tab!H$7</f>
        <v>0</v>
      </c>
      <c r="T103" s="67">
        <f>L103*tab!I$7</f>
        <v>0</v>
      </c>
      <c r="U103" s="67">
        <f>M103*tab!J$7</f>
        <v>0</v>
      </c>
      <c r="V103" s="67">
        <f>N103*tab!K$7</f>
        <v>0</v>
      </c>
      <c r="W103" s="70"/>
      <c r="X103" s="119">
        <v>0</v>
      </c>
      <c r="Y103" s="119">
        <f t="shared" si="32"/>
        <v>0</v>
      </c>
      <c r="Z103" s="119">
        <f t="shared" ref="Z103:AD122" si="36">Y103</f>
        <v>0</v>
      </c>
      <c r="AA103" s="119">
        <f t="shared" si="36"/>
        <v>0</v>
      </c>
      <c r="AB103" s="119">
        <f t="shared" si="36"/>
        <v>0</v>
      </c>
      <c r="AC103" s="119">
        <f t="shared" si="36"/>
        <v>0</v>
      </c>
      <c r="AD103" s="119">
        <f t="shared" si="36"/>
        <v>0</v>
      </c>
      <c r="AE103" s="70"/>
      <c r="AF103" s="67">
        <f>+H103*tab!D$8</f>
        <v>0</v>
      </c>
      <c r="AG103" s="67">
        <f>+I103*tab!E$8</f>
        <v>0</v>
      </c>
      <c r="AH103" s="67">
        <f>+J103*tab!F$8</f>
        <v>0</v>
      </c>
      <c r="AI103" s="67">
        <f>+K103*tab!G$8</f>
        <v>0</v>
      </c>
      <c r="AJ103" s="67">
        <f>+L103*tab!H$8</f>
        <v>0</v>
      </c>
      <c r="AK103" s="67">
        <f>+M103*tab!I$8</f>
        <v>0</v>
      </c>
      <c r="AL103" s="67">
        <f>+N103*tab!J$8</f>
        <v>0</v>
      </c>
      <c r="AM103" s="70"/>
      <c r="AN103" s="152">
        <v>0</v>
      </c>
      <c r="AO103" s="119">
        <f t="shared" si="34"/>
        <v>0</v>
      </c>
      <c r="AP103" s="119">
        <f t="shared" si="34"/>
        <v>0</v>
      </c>
      <c r="AQ103" s="119">
        <f t="shared" si="34"/>
        <v>0</v>
      </c>
      <c r="AR103" s="119">
        <f t="shared" si="34"/>
        <v>0</v>
      </c>
      <c r="AS103" s="119">
        <f t="shared" si="34"/>
        <v>0</v>
      </c>
      <c r="AT103" s="119">
        <f t="shared" si="34"/>
        <v>0</v>
      </c>
      <c r="AU103" s="91"/>
      <c r="AV103" s="133"/>
    </row>
    <row r="104" spans="2:48" s="112" customFormat="1" x14ac:dyDescent="0.2">
      <c r="B104" s="953"/>
      <c r="C104" s="149"/>
      <c r="D104" s="49">
        <v>90</v>
      </c>
      <c r="E104" s="150" t="s">
        <v>304</v>
      </c>
      <c r="F104" s="831" t="s">
        <v>274</v>
      </c>
      <c r="G104" s="967"/>
      <c r="H104" s="954">
        <v>0</v>
      </c>
      <c r="I104" s="118">
        <f t="shared" si="35"/>
        <v>0</v>
      </c>
      <c r="J104" s="118">
        <f t="shared" si="35"/>
        <v>0</v>
      </c>
      <c r="K104" s="118">
        <f t="shared" si="35"/>
        <v>0</v>
      </c>
      <c r="L104" s="118">
        <f t="shared" si="35"/>
        <v>0</v>
      </c>
      <c r="M104" s="118">
        <f t="shared" si="35"/>
        <v>0</v>
      </c>
      <c r="N104" s="118">
        <f t="shared" si="35"/>
        <v>0</v>
      </c>
      <c r="O104" s="70"/>
      <c r="P104" s="67">
        <f>H104*tab!E$7</f>
        <v>0</v>
      </c>
      <c r="Q104" s="67">
        <f>I104*tab!F$7</f>
        <v>0</v>
      </c>
      <c r="R104" s="67">
        <f>J104*tab!G$7</f>
        <v>0</v>
      </c>
      <c r="S104" s="67">
        <f>K104*tab!H$7</f>
        <v>0</v>
      </c>
      <c r="T104" s="67">
        <f>L104*tab!I$7</f>
        <v>0</v>
      </c>
      <c r="U104" s="67">
        <f>M104*tab!J$7</f>
        <v>0</v>
      </c>
      <c r="V104" s="67">
        <f>N104*tab!K$7</f>
        <v>0</v>
      </c>
      <c r="W104" s="70"/>
      <c r="X104" s="119">
        <v>0</v>
      </c>
      <c r="Y104" s="119">
        <f t="shared" si="32"/>
        <v>0</v>
      </c>
      <c r="Z104" s="119">
        <f t="shared" si="36"/>
        <v>0</v>
      </c>
      <c r="AA104" s="119">
        <f t="shared" si="36"/>
        <v>0</v>
      </c>
      <c r="AB104" s="119">
        <f t="shared" si="36"/>
        <v>0</v>
      </c>
      <c r="AC104" s="119">
        <f t="shared" si="36"/>
        <v>0</v>
      </c>
      <c r="AD104" s="119">
        <f t="shared" si="36"/>
        <v>0</v>
      </c>
      <c r="AE104" s="70"/>
      <c r="AF104" s="67">
        <f>+H104*tab!D$8</f>
        <v>0</v>
      </c>
      <c r="AG104" s="67">
        <f>+I104*tab!E$8</f>
        <v>0</v>
      </c>
      <c r="AH104" s="67">
        <f>+J104*tab!F$8</f>
        <v>0</v>
      </c>
      <c r="AI104" s="67">
        <f>+K104*tab!G$8</f>
        <v>0</v>
      </c>
      <c r="AJ104" s="67">
        <f>+L104*tab!H$8</f>
        <v>0</v>
      </c>
      <c r="AK104" s="67">
        <f>+M104*tab!I$8</f>
        <v>0</v>
      </c>
      <c r="AL104" s="67">
        <f>+N104*tab!J$8</f>
        <v>0</v>
      </c>
      <c r="AM104" s="70"/>
      <c r="AN104" s="152">
        <v>0</v>
      </c>
      <c r="AO104" s="119">
        <f t="shared" si="34"/>
        <v>0</v>
      </c>
      <c r="AP104" s="119">
        <f t="shared" si="34"/>
        <v>0</v>
      </c>
      <c r="AQ104" s="119">
        <f t="shared" si="34"/>
        <v>0</v>
      </c>
      <c r="AR104" s="119">
        <f t="shared" si="34"/>
        <v>0</v>
      </c>
      <c r="AS104" s="119">
        <f t="shared" si="34"/>
        <v>0</v>
      </c>
      <c r="AT104" s="119">
        <f t="shared" si="34"/>
        <v>0</v>
      </c>
      <c r="AU104" s="91"/>
      <c r="AV104" s="133"/>
    </row>
    <row r="105" spans="2:48" s="112" customFormat="1" x14ac:dyDescent="0.2">
      <c r="B105" s="953"/>
      <c r="C105" s="149"/>
      <c r="D105" s="49">
        <v>91</v>
      </c>
      <c r="E105" s="150" t="s">
        <v>305</v>
      </c>
      <c r="F105" s="831" t="s">
        <v>274</v>
      </c>
      <c r="G105" s="967"/>
      <c r="H105" s="954">
        <v>0</v>
      </c>
      <c r="I105" s="118">
        <f t="shared" si="35"/>
        <v>0</v>
      </c>
      <c r="J105" s="118">
        <f t="shared" si="35"/>
        <v>0</v>
      </c>
      <c r="K105" s="118">
        <f t="shared" si="35"/>
        <v>0</v>
      </c>
      <c r="L105" s="118">
        <f t="shared" si="35"/>
        <v>0</v>
      </c>
      <c r="M105" s="118">
        <f t="shared" si="35"/>
        <v>0</v>
      </c>
      <c r="N105" s="118">
        <f t="shared" si="35"/>
        <v>0</v>
      </c>
      <c r="O105" s="70"/>
      <c r="P105" s="67">
        <f>H105*tab!E$7</f>
        <v>0</v>
      </c>
      <c r="Q105" s="67">
        <f>I105*tab!F$7</f>
        <v>0</v>
      </c>
      <c r="R105" s="67">
        <f>J105*tab!G$7</f>
        <v>0</v>
      </c>
      <c r="S105" s="67">
        <f>K105*tab!H$7</f>
        <v>0</v>
      </c>
      <c r="T105" s="67">
        <f>L105*tab!I$7</f>
        <v>0</v>
      </c>
      <c r="U105" s="67">
        <f>M105*tab!J$7</f>
        <v>0</v>
      </c>
      <c r="V105" s="67">
        <f>N105*tab!K$7</f>
        <v>0</v>
      </c>
      <c r="W105" s="70"/>
      <c r="X105" s="119">
        <v>0</v>
      </c>
      <c r="Y105" s="119">
        <f t="shared" si="32"/>
        <v>0</v>
      </c>
      <c r="Z105" s="119">
        <f t="shared" si="36"/>
        <v>0</v>
      </c>
      <c r="AA105" s="119">
        <f t="shared" si="36"/>
        <v>0</v>
      </c>
      <c r="AB105" s="119">
        <f t="shared" si="36"/>
        <v>0</v>
      </c>
      <c r="AC105" s="119">
        <f t="shared" si="36"/>
        <v>0</v>
      </c>
      <c r="AD105" s="119">
        <f t="shared" si="36"/>
        <v>0</v>
      </c>
      <c r="AE105" s="70"/>
      <c r="AF105" s="67">
        <f>+H105*tab!D$8</f>
        <v>0</v>
      </c>
      <c r="AG105" s="67">
        <f>+I105*tab!E$8</f>
        <v>0</v>
      </c>
      <c r="AH105" s="67">
        <f>+J105*tab!F$8</f>
        <v>0</v>
      </c>
      <c r="AI105" s="67">
        <f>+K105*tab!G$8</f>
        <v>0</v>
      </c>
      <c r="AJ105" s="67">
        <f>+L105*tab!H$8</f>
        <v>0</v>
      </c>
      <c r="AK105" s="67">
        <f>+M105*tab!I$8</f>
        <v>0</v>
      </c>
      <c r="AL105" s="67">
        <f>+N105*tab!J$8</f>
        <v>0</v>
      </c>
      <c r="AM105" s="70"/>
      <c r="AN105" s="152">
        <v>0</v>
      </c>
      <c r="AO105" s="119">
        <f t="shared" si="34"/>
        <v>0</v>
      </c>
      <c r="AP105" s="119">
        <f t="shared" si="34"/>
        <v>0</v>
      </c>
      <c r="AQ105" s="119">
        <f t="shared" si="34"/>
        <v>0</v>
      </c>
      <c r="AR105" s="119">
        <f t="shared" si="34"/>
        <v>0</v>
      </c>
      <c r="AS105" s="119">
        <f t="shared" si="34"/>
        <v>0</v>
      </c>
      <c r="AT105" s="119">
        <f t="shared" si="34"/>
        <v>0</v>
      </c>
      <c r="AU105" s="91"/>
      <c r="AV105" s="133"/>
    </row>
    <row r="106" spans="2:48" s="112" customFormat="1" x14ac:dyDescent="0.2">
      <c r="B106" s="953"/>
      <c r="C106" s="149"/>
      <c r="D106" s="49">
        <v>92</v>
      </c>
      <c r="E106" s="150" t="s">
        <v>306</v>
      </c>
      <c r="F106" s="831" t="s">
        <v>274</v>
      </c>
      <c r="G106" s="967"/>
      <c r="H106" s="954">
        <v>0</v>
      </c>
      <c r="I106" s="118">
        <f t="shared" si="35"/>
        <v>0</v>
      </c>
      <c r="J106" s="118">
        <f t="shared" si="35"/>
        <v>0</v>
      </c>
      <c r="K106" s="118">
        <f t="shared" si="35"/>
        <v>0</v>
      </c>
      <c r="L106" s="118">
        <f t="shared" si="35"/>
        <v>0</v>
      </c>
      <c r="M106" s="118">
        <f t="shared" si="35"/>
        <v>0</v>
      </c>
      <c r="N106" s="118">
        <f t="shared" si="35"/>
        <v>0</v>
      </c>
      <c r="O106" s="70"/>
      <c r="P106" s="67">
        <f>H106*tab!E$7</f>
        <v>0</v>
      </c>
      <c r="Q106" s="67">
        <f>I106*tab!F$7</f>
        <v>0</v>
      </c>
      <c r="R106" s="67">
        <f>J106*tab!G$7</f>
        <v>0</v>
      </c>
      <c r="S106" s="67">
        <f>K106*tab!H$7</f>
        <v>0</v>
      </c>
      <c r="T106" s="67">
        <f>L106*tab!I$7</f>
        <v>0</v>
      </c>
      <c r="U106" s="67">
        <f>M106*tab!J$7</f>
        <v>0</v>
      </c>
      <c r="V106" s="67">
        <f>N106*tab!K$7</f>
        <v>0</v>
      </c>
      <c r="W106" s="70"/>
      <c r="X106" s="119">
        <v>0</v>
      </c>
      <c r="Y106" s="119">
        <f t="shared" si="32"/>
        <v>0</v>
      </c>
      <c r="Z106" s="119">
        <f t="shared" si="36"/>
        <v>0</v>
      </c>
      <c r="AA106" s="119">
        <f t="shared" si="36"/>
        <v>0</v>
      </c>
      <c r="AB106" s="119">
        <f t="shared" si="36"/>
        <v>0</v>
      </c>
      <c r="AC106" s="119">
        <f t="shared" si="36"/>
        <v>0</v>
      </c>
      <c r="AD106" s="119">
        <f t="shared" si="36"/>
        <v>0</v>
      </c>
      <c r="AE106" s="70"/>
      <c r="AF106" s="67">
        <f>+H106*tab!D$8</f>
        <v>0</v>
      </c>
      <c r="AG106" s="67">
        <f>+I106*tab!E$8</f>
        <v>0</v>
      </c>
      <c r="AH106" s="67">
        <f>+J106*tab!F$8</f>
        <v>0</v>
      </c>
      <c r="AI106" s="67">
        <f>+K106*tab!G$8</f>
        <v>0</v>
      </c>
      <c r="AJ106" s="67">
        <f>+L106*tab!H$8</f>
        <v>0</v>
      </c>
      <c r="AK106" s="67">
        <f>+M106*tab!I$8</f>
        <v>0</v>
      </c>
      <c r="AL106" s="67">
        <f>+N106*tab!J$8</f>
        <v>0</v>
      </c>
      <c r="AM106" s="70"/>
      <c r="AN106" s="152">
        <v>0</v>
      </c>
      <c r="AO106" s="119">
        <f t="shared" si="34"/>
        <v>0</v>
      </c>
      <c r="AP106" s="119">
        <f t="shared" si="34"/>
        <v>0</v>
      </c>
      <c r="AQ106" s="119">
        <f t="shared" si="34"/>
        <v>0</v>
      </c>
      <c r="AR106" s="119">
        <f t="shared" si="34"/>
        <v>0</v>
      </c>
      <c r="AS106" s="119">
        <f t="shared" si="34"/>
        <v>0</v>
      </c>
      <c r="AT106" s="119">
        <f t="shared" si="34"/>
        <v>0</v>
      </c>
      <c r="AU106" s="91"/>
      <c r="AV106" s="133"/>
    </row>
    <row r="107" spans="2:48" s="112" customFormat="1" x14ac:dyDescent="0.2">
      <c r="B107" s="953"/>
      <c r="C107" s="149"/>
      <c r="D107" s="49">
        <v>93</v>
      </c>
      <c r="E107" s="150" t="s">
        <v>307</v>
      </c>
      <c r="F107" s="831" t="s">
        <v>274</v>
      </c>
      <c r="G107" s="967"/>
      <c r="H107" s="954">
        <v>0</v>
      </c>
      <c r="I107" s="118">
        <f t="shared" si="35"/>
        <v>0</v>
      </c>
      <c r="J107" s="118">
        <f t="shared" si="35"/>
        <v>0</v>
      </c>
      <c r="K107" s="118">
        <f t="shared" si="35"/>
        <v>0</v>
      </c>
      <c r="L107" s="118">
        <f t="shared" si="35"/>
        <v>0</v>
      </c>
      <c r="M107" s="118">
        <f t="shared" si="35"/>
        <v>0</v>
      </c>
      <c r="N107" s="118">
        <f t="shared" si="35"/>
        <v>0</v>
      </c>
      <c r="O107" s="70"/>
      <c r="P107" s="67">
        <f>H107*tab!E$7</f>
        <v>0</v>
      </c>
      <c r="Q107" s="67">
        <f>I107*tab!F$7</f>
        <v>0</v>
      </c>
      <c r="R107" s="67">
        <f>J107*tab!G$7</f>
        <v>0</v>
      </c>
      <c r="S107" s="67">
        <f>K107*tab!H$7</f>
        <v>0</v>
      </c>
      <c r="T107" s="67">
        <f>L107*tab!I$7</f>
        <v>0</v>
      </c>
      <c r="U107" s="67">
        <f>M107*tab!J$7</f>
        <v>0</v>
      </c>
      <c r="V107" s="67">
        <f>N107*tab!K$7</f>
        <v>0</v>
      </c>
      <c r="W107" s="70"/>
      <c r="X107" s="119">
        <v>0</v>
      </c>
      <c r="Y107" s="119">
        <f t="shared" si="32"/>
        <v>0</v>
      </c>
      <c r="Z107" s="119">
        <f t="shared" si="36"/>
        <v>0</v>
      </c>
      <c r="AA107" s="119">
        <f t="shared" si="36"/>
        <v>0</v>
      </c>
      <c r="AB107" s="119">
        <f t="shared" si="36"/>
        <v>0</v>
      </c>
      <c r="AC107" s="119">
        <f t="shared" si="36"/>
        <v>0</v>
      </c>
      <c r="AD107" s="119">
        <f t="shared" si="36"/>
        <v>0</v>
      </c>
      <c r="AE107" s="70"/>
      <c r="AF107" s="67">
        <f>+H107*tab!D$8</f>
        <v>0</v>
      </c>
      <c r="AG107" s="67">
        <f>+I107*tab!E$8</f>
        <v>0</v>
      </c>
      <c r="AH107" s="67">
        <f>+J107*tab!F$8</f>
        <v>0</v>
      </c>
      <c r="AI107" s="67">
        <f>+K107*tab!G$8</f>
        <v>0</v>
      </c>
      <c r="AJ107" s="67">
        <f>+L107*tab!H$8</f>
        <v>0</v>
      </c>
      <c r="AK107" s="67">
        <f>+M107*tab!I$8</f>
        <v>0</v>
      </c>
      <c r="AL107" s="67">
        <f>+N107*tab!J$8</f>
        <v>0</v>
      </c>
      <c r="AM107" s="70"/>
      <c r="AN107" s="152">
        <v>0</v>
      </c>
      <c r="AO107" s="119">
        <f t="shared" si="34"/>
        <v>0</v>
      </c>
      <c r="AP107" s="119">
        <f t="shared" si="34"/>
        <v>0</v>
      </c>
      <c r="AQ107" s="119">
        <f t="shared" si="34"/>
        <v>0</v>
      </c>
      <c r="AR107" s="119">
        <f t="shared" si="34"/>
        <v>0</v>
      </c>
      <c r="AS107" s="119">
        <f t="shared" si="34"/>
        <v>0</v>
      </c>
      <c r="AT107" s="119">
        <f t="shared" si="34"/>
        <v>0</v>
      </c>
      <c r="AU107" s="91"/>
      <c r="AV107" s="133"/>
    </row>
    <row r="108" spans="2:48" s="112" customFormat="1" x14ac:dyDescent="0.2">
      <c r="B108" s="953"/>
      <c r="C108" s="149"/>
      <c r="D108" s="49">
        <v>94</v>
      </c>
      <c r="E108" s="150" t="s">
        <v>308</v>
      </c>
      <c r="F108" s="831" t="s">
        <v>274</v>
      </c>
      <c r="G108" s="967"/>
      <c r="H108" s="954">
        <v>0</v>
      </c>
      <c r="I108" s="118">
        <f t="shared" si="35"/>
        <v>0</v>
      </c>
      <c r="J108" s="118">
        <f t="shared" si="35"/>
        <v>0</v>
      </c>
      <c r="K108" s="118">
        <f t="shared" si="35"/>
        <v>0</v>
      </c>
      <c r="L108" s="118">
        <f t="shared" si="35"/>
        <v>0</v>
      </c>
      <c r="M108" s="118">
        <f t="shared" si="35"/>
        <v>0</v>
      </c>
      <c r="N108" s="118">
        <f t="shared" si="35"/>
        <v>0</v>
      </c>
      <c r="O108" s="70"/>
      <c r="P108" s="67">
        <f>H108*tab!E$7</f>
        <v>0</v>
      </c>
      <c r="Q108" s="67">
        <f>I108*tab!F$7</f>
        <v>0</v>
      </c>
      <c r="R108" s="67">
        <f>J108*tab!G$7</f>
        <v>0</v>
      </c>
      <c r="S108" s="67">
        <f>K108*tab!H$7</f>
        <v>0</v>
      </c>
      <c r="T108" s="67">
        <f>L108*tab!I$7</f>
        <v>0</v>
      </c>
      <c r="U108" s="67">
        <f>M108*tab!J$7</f>
        <v>0</v>
      </c>
      <c r="V108" s="67">
        <f>N108*tab!K$7</f>
        <v>0</v>
      </c>
      <c r="W108" s="70"/>
      <c r="X108" s="119">
        <v>0</v>
      </c>
      <c r="Y108" s="119">
        <f t="shared" si="32"/>
        <v>0</v>
      </c>
      <c r="Z108" s="119">
        <f t="shared" si="36"/>
        <v>0</v>
      </c>
      <c r="AA108" s="119">
        <f t="shared" si="36"/>
        <v>0</v>
      </c>
      <c r="AB108" s="119">
        <f t="shared" si="36"/>
        <v>0</v>
      </c>
      <c r="AC108" s="119">
        <f t="shared" si="36"/>
        <v>0</v>
      </c>
      <c r="AD108" s="119">
        <f t="shared" si="36"/>
        <v>0</v>
      </c>
      <c r="AE108" s="70"/>
      <c r="AF108" s="67">
        <f>+H108*tab!D$8</f>
        <v>0</v>
      </c>
      <c r="AG108" s="67">
        <f>+I108*tab!E$8</f>
        <v>0</v>
      </c>
      <c r="AH108" s="67">
        <f>+J108*tab!F$8</f>
        <v>0</v>
      </c>
      <c r="AI108" s="67">
        <f>+K108*tab!G$8</f>
        <v>0</v>
      </c>
      <c r="AJ108" s="67">
        <f>+L108*tab!H$8</f>
        <v>0</v>
      </c>
      <c r="AK108" s="67">
        <f>+M108*tab!I$8</f>
        <v>0</v>
      </c>
      <c r="AL108" s="67">
        <f>+N108*tab!J$8</f>
        <v>0</v>
      </c>
      <c r="AM108" s="70"/>
      <c r="AN108" s="152">
        <v>0</v>
      </c>
      <c r="AO108" s="119">
        <f t="shared" ref="AO108:AT127" si="37">AN108</f>
        <v>0</v>
      </c>
      <c r="AP108" s="119">
        <f t="shared" si="37"/>
        <v>0</v>
      </c>
      <c r="AQ108" s="119">
        <f t="shared" si="37"/>
        <v>0</v>
      </c>
      <c r="AR108" s="119">
        <f t="shared" si="37"/>
        <v>0</v>
      </c>
      <c r="AS108" s="119">
        <f t="shared" si="37"/>
        <v>0</v>
      </c>
      <c r="AT108" s="119">
        <f t="shared" si="37"/>
        <v>0</v>
      </c>
      <c r="AU108" s="91"/>
      <c r="AV108" s="133"/>
    </row>
    <row r="109" spans="2:48" s="112" customFormat="1" x14ac:dyDescent="0.2">
      <c r="B109" s="953"/>
      <c r="C109" s="149"/>
      <c r="D109" s="49">
        <v>95</v>
      </c>
      <c r="E109" s="150" t="s">
        <v>309</v>
      </c>
      <c r="F109" s="831" t="s">
        <v>274</v>
      </c>
      <c r="G109" s="967"/>
      <c r="H109" s="954">
        <v>0</v>
      </c>
      <c r="I109" s="118">
        <f t="shared" si="35"/>
        <v>0</v>
      </c>
      <c r="J109" s="118">
        <f t="shared" si="35"/>
        <v>0</v>
      </c>
      <c r="K109" s="118">
        <f t="shared" si="35"/>
        <v>0</v>
      </c>
      <c r="L109" s="118">
        <f t="shared" si="35"/>
        <v>0</v>
      </c>
      <c r="M109" s="118">
        <f t="shared" si="35"/>
        <v>0</v>
      </c>
      <c r="N109" s="118">
        <f t="shared" si="35"/>
        <v>0</v>
      </c>
      <c r="O109" s="70"/>
      <c r="P109" s="67">
        <f>H109*tab!E$7</f>
        <v>0</v>
      </c>
      <c r="Q109" s="67">
        <f>I109*tab!F$7</f>
        <v>0</v>
      </c>
      <c r="R109" s="67">
        <f>J109*tab!G$7</f>
        <v>0</v>
      </c>
      <c r="S109" s="67">
        <f>K109*tab!H$7</f>
        <v>0</v>
      </c>
      <c r="T109" s="67">
        <f>L109*tab!I$7</f>
        <v>0</v>
      </c>
      <c r="U109" s="67">
        <f>M109*tab!J$7</f>
        <v>0</v>
      </c>
      <c r="V109" s="67">
        <f>N109*tab!K$7</f>
        <v>0</v>
      </c>
      <c r="W109" s="70"/>
      <c r="X109" s="119">
        <v>0</v>
      </c>
      <c r="Y109" s="119">
        <f t="shared" si="32"/>
        <v>0</v>
      </c>
      <c r="Z109" s="119">
        <f t="shared" si="36"/>
        <v>0</v>
      </c>
      <c r="AA109" s="119">
        <f t="shared" si="36"/>
        <v>0</v>
      </c>
      <c r="AB109" s="119">
        <f t="shared" si="36"/>
        <v>0</v>
      </c>
      <c r="AC109" s="119">
        <f t="shared" si="36"/>
        <v>0</v>
      </c>
      <c r="AD109" s="119">
        <f t="shared" si="36"/>
        <v>0</v>
      </c>
      <c r="AE109" s="70"/>
      <c r="AF109" s="67">
        <f>+H109*tab!D$8</f>
        <v>0</v>
      </c>
      <c r="AG109" s="67">
        <f>+I109*tab!E$8</f>
        <v>0</v>
      </c>
      <c r="AH109" s="67">
        <f>+J109*tab!F$8</f>
        <v>0</v>
      </c>
      <c r="AI109" s="67">
        <f>+K109*tab!G$8</f>
        <v>0</v>
      </c>
      <c r="AJ109" s="67">
        <f>+L109*tab!H$8</f>
        <v>0</v>
      </c>
      <c r="AK109" s="67">
        <f>+M109*tab!I$8</f>
        <v>0</v>
      </c>
      <c r="AL109" s="67">
        <f>+N109*tab!J$8</f>
        <v>0</v>
      </c>
      <c r="AM109" s="70"/>
      <c r="AN109" s="152">
        <v>0</v>
      </c>
      <c r="AO109" s="119">
        <f t="shared" si="37"/>
        <v>0</v>
      </c>
      <c r="AP109" s="119">
        <f t="shared" si="37"/>
        <v>0</v>
      </c>
      <c r="AQ109" s="119">
        <f t="shared" si="37"/>
        <v>0</v>
      </c>
      <c r="AR109" s="119">
        <f t="shared" si="37"/>
        <v>0</v>
      </c>
      <c r="AS109" s="119">
        <f t="shared" si="37"/>
        <v>0</v>
      </c>
      <c r="AT109" s="119">
        <f t="shared" si="37"/>
        <v>0</v>
      </c>
      <c r="AU109" s="91"/>
      <c r="AV109" s="133"/>
    </row>
    <row r="110" spans="2:48" s="112" customFormat="1" x14ac:dyDescent="0.2">
      <c r="B110" s="953"/>
      <c r="C110" s="149"/>
      <c r="D110" s="49">
        <v>96</v>
      </c>
      <c r="E110" s="150" t="s">
        <v>310</v>
      </c>
      <c r="F110" s="831" t="s">
        <v>274</v>
      </c>
      <c r="G110" s="967"/>
      <c r="H110" s="954">
        <v>0</v>
      </c>
      <c r="I110" s="118">
        <f t="shared" si="35"/>
        <v>0</v>
      </c>
      <c r="J110" s="118">
        <f t="shared" si="35"/>
        <v>0</v>
      </c>
      <c r="K110" s="118">
        <f t="shared" si="35"/>
        <v>0</v>
      </c>
      <c r="L110" s="118">
        <f t="shared" si="35"/>
        <v>0</v>
      </c>
      <c r="M110" s="118">
        <f t="shared" si="35"/>
        <v>0</v>
      </c>
      <c r="N110" s="118">
        <f t="shared" si="35"/>
        <v>0</v>
      </c>
      <c r="O110" s="70"/>
      <c r="P110" s="67">
        <f>H110*tab!E$7</f>
        <v>0</v>
      </c>
      <c r="Q110" s="67">
        <f>I110*tab!F$7</f>
        <v>0</v>
      </c>
      <c r="R110" s="67">
        <f>J110*tab!G$7</f>
        <v>0</v>
      </c>
      <c r="S110" s="67">
        <f>K110*tab!H$7</f>
        <v>0</v>
      </c>
      <c r="T110" s="67">
        <f>L110*tab!I$7</f>
        <v>0</v>
      </c>
      <c r="U110" s="67">
        <f>M110*tab!J$7</f>
        <v>0</v>
      </c>
      <c r="V110" s="67">
        <f>N110*tab!K$7</f>
        <v>0</v>
      </c>
      <c r="W110" s="70"/>
      <c r="X110" s="119">
        <v>0</v>
      </c>
      <c r="Y110" s="119">
        <f t="shared" si="32"/>
        <v>0</v>
      </c>
      <c r="Z110" s="119">
        <f t="shared" si="36"/>
        <v>0</v>
      </c>
      <c r="AA110" s="119">
        <f t="shared" si="36"/>
        <v>0</v>
      </c>
      <c r="AB110" s="119">
        <f t="shared" si="36"/>
        <v>0</v>
      </c>
      <c r="AC110" s="119">
        <f t="shared" si="36"/>
        <v>0</v>
      </c>
      <c r="AD110" s="119">
        <f t="shared" si="36"/>
        <v>0</v>
      </c>
      <c r="AE110" s="70"/>
      <c r="AF110" s="67">
        <f>+H110*tab!D$8</f>
        <v>0</v>
      </c>
      <c r="AG110" s="67">
        <f>+I110*tab!E$8</f>
        <v>0</v>
      </c>
      <c r="AH110" s="67">
        <f>+J110*tab!F$8</f>
        <v>0</v>
      </c>
      <c r="AI110" s="67">
        <f>+K110*tab!G$8</f>
        <v>0</v>
      </c>
      <c r="AJ110" s="67">
        <f>+L110*tab!H$8</f>
        <v>0</v>
      </c>
      <c r="AK110" s="67">
        <f>+M110*tab!I$8</f>
        <v>0</v>
      </c>
      <c r="AL110" s="67">
        <f>+N110*tab!J$8</f>
        <v>0</v>
      </c>
      <c r="AM110" s="70"/>
      <c r="AN110" s="152">
        <v>0</v>
      </c>
      <c r="AO110" s="119">
        <f t="shared" si="37"/>
        <v>0</v>
      </c>
      <c r="AP110" s="119">
        <f t="shared" si="37"/>
        <v>0</v>
      </c>
      <c r="AQ110" s="119">
        <f t="shared" si="37"/>
        <v>0</v>
      </c>
      <c r="AR110" s="119">
        <f t="shared" si="37"/>
        <v>0</v>
      </c>
      <c r="AS110" s="119">
        <f t="shared" si="37"/>
        <v>0</v>
      </c>
      <c r="AT110" s="119">
        <f t="shared" si="37"/>
        <v>0</v>
      </c>
      <c r="AU110" s="91"/>
      <c r="AV110" s="133"/>
    </row>
    <row r="111" spans="2:48" s="112" customFormat="1" x14ac:dyDescent="0.2">
      <c r="B111" s="953"/>
      <c r="C111" s="149"/>
      <c r="D111" s="49">
        <v>97</v>
      </c>
      <c r="E111" s="150" t="s">
        <v>311</v>
      </c>
      <c r="F111" s="831" t="s">
        <v>274</v>
      </c>
      <c r="G111" s="967"/>
      <c r="H111" s="954">
        <v>0</v>
      </c>
      <c r="I111" s="118">
        <f t="shared" si="35"/>
        <v>0</v>
      </c>
      <c r="J111" s="118">
        <f t="shared" si="35"/>
        <v>0</v>
      </c>
      <c r="K111" s="118">
        <f t="shared" si="35"/>
        <v>0</v>
      </c>
      <c r="L111" s="118">
        <f t="shared" si="35"/>
        <v>0</v>
      </c>
      <c r="M111" s="118">
        <f t="shared" si="35"/>
        <v>0</v>
      </c>
      <c r="N111" s="118">
        <f t="shared" si="35"/>
        <v>0</v>
      </c>
      <c r="O111" s="70"/>
      <c r="P111" s="67">
        <f>H111*tab!E$7</f>
        <v>0</v>
      </c>
      <c r="Q111" s="67">
        <f>I111*tab!F$7</f>
        <v>0</v>
      </c>
      <c r="R111" s="67">
        <f>J111*tab!G$7</f>
        <v>0</v>
      </c>
      <c r="S111" s="67">
        <f>K111*tab!H$7</f>
        <v>0</v>
      </c>
      <c r="T111" s="67">
        <f>L111*tab!I$7</f>
        <v>0</v>
      </c>
      <c r="U111" s="67">
        <f>M111*tab!J$7</f>
        <v>0</v>
      </c>
      <c r="V111" s="67">
        <f>N111*tab!K$7</f>
        <v>0</v>
      </c>
      <c r="W111" s="70"/>
      <c r="X111" s="119">
        <v>0</v>
      </c>
      <c r="Y111" s="119">
        <f t="shared" si="32"/>
        <v>0</v>
      </c>
      <c r="Z111" s="119">
        <f t="shared" si="36"/>
        <v>0</v>
      </c>
      <c r="AA111" s="119">
        <f t="shared" si="36"/>
        <v>0</v>
      </c>
      <c r="AB111" s="119">
        <f t="shared" si="36"/>
        <v>0</v>
      </c>
      <c r="AC111" s="119">
        <f t="shared" si="36"/>
        <v>0</v>
      </c>
      <c r="AD111" s="119">
        <f t="shared" si="36"/>
        <v>0</v>
      </c>
      <c r="AE111" s="70"/>
      <c r="AF111" s="67">
        <f>+H111*tab!D$8</f>
        <v>0</v>
      </c>
      <c r="AG111" s="67">
        <f>+I111*tab!E$8</f>
        <v>0</v>
      </c>
      <c r="AH111" s="67">
        <f>+J111*tab!F$8</f>
        <v>0</v>
      </c>
      <c r="AI111" s="67">
        <f>+K111*tab!G$8</f>
        <v>0</v>
      </c>
      <c r="AJ111" s="67">
        <f>+L111*tab!H$8</f>
        <v>0</v>
      </c>
      <c r="AK111" s="67">
        <f>+M111*tab!I$8</f>
        <v>0</v>
      </c>
      <c r="AL111" s="67">
        <f>+N111*tab!J$8</f>
        <v>0</v>
      </c>
      <c r="AM111" s="70"/>
      <c r="AN111" s="152">
        <v>0</v>
      </c>
      <c r="AO111" s="119">
        <f t="shared" si="37"/>
        <v>0</v>
      </c>
      <c r="AP111" s="119">
        <f t="shared" si="37"/>
        <v>0</v>
      </c>
      <c r="AQ111" s="119">
        <f t="shared" si="37"/>
        <v>0</v>
      </c>
      <c r="AR111" s="119">
        <f t="shared" si="37"/>
        <v>0</v>
      </c>
      <c r="AS111" s="119">
        <f t="shared" si="37"/>
        <v>0</v>
      </c>
      <c r="AT111" s="119">
        <f t="shared" si="37"/>
        <v>0</v>
      </c>
      <c r="AU111" s="91"/>
      <c r="AV111" s="133"/>
    </row>
    <row r="112" spans="2:48" s="112" customFormat="1" x14ac:dyDescent="0.2">
      <c r="B112" s="953"/>
      <c r="C112" s="149"/>
      <c r="D112" s="49">
        <v>98</v>
      </c>
      <c r="E112" s="150" t="s">
        <v>312</v>
      </c>
      <c r="F112" s="831" t="s">
        <v>274</v>
      </c>
      <c r="G112" s="967"/>
      <c r="H112" s="954">
        <v>0</v>
      </c>
      <c r="I112" s="118">
        <f t="shared" si="35"/>
        <v>0</v>
      </c>
      <c r="J112" s="118">
        <f t="shared" si="35"/>
        <v>0</v>
      </c>
      <c r="K112" s="118">
        <f t="shared" si="35"/>
        <v>0</v>
      </c>
      <c r="L112" s="118">
        <f t="shared" si="35"/>
        <v>0</v>
      </c>
      <c r="M112" s="118">
        <f t="shared" si="35"/>
        <v>0</v>
      </c>
      <c r="N112" s="118">
        <f t="shared" si="35"/>
        <v>0</v>
      </c>
      <c r="O112" s="70"/>
      <c r="P112" s="67">
        <f>H112*tab!E$7</f>
        <v>0</v>
      </c>
      <c r="Q112" s="67">
        <f>I112*tab!F$7</f>
        <v>0</v>
      </c>
      <c r="R112" s="67">
        <f>J112*tab!G$7</f>
        <v>0</v>
      </c>
      <c r="S112" s="67">
        <f>K112*tab!H$7</f>
        <v>0</v>
      </c>
      <c r="T112" s="67">
        <f>L112*tab!I$7</f>
        <v>0</v>
      </c>
      <c r="U112" s="67">
        <f>M112*tab!J$7</f>
        <v>0</v>
      </c>
      <c r="V112" s="67">
        <f>N112*tab!K$7</f>
        <v>0</v>
      </c>
      <c r="W112" s="70"/>
      <c r="X112" s="119">
        <v>0</v>
      </c>
      <c r="Y112" s="119">
        <f t="shared" ref="Y112:Y139" si="38">X112</f>
        <v>0</v>
      </c>
      <c r="Z112" s="119">
        <f t="shared" si="36"/>
        <v>0</v>
      </c>
      <c r="AA112" s="119">
        <f t="shared" si="36"/>
        <v>0</v>
      </c>
      <c r="AB112" s="119">
        <f t="shared" si="36"/>
        <v>0</v>
      </c>
      <c r="AC112" s="119">
        <f t="shared" si="36"/>
        <v>0</v>
      </c>
      <c r="AD112" s="119">
        <f t="shared" si="36"/>
        <v>0</v>
      </c>
      <c r="AE112" s="70"/>
      <c r="AF112" s="67">
        <f>+H112*tab!D$8</f>
        <v>0</v>
      </c>
      <c r="AG112" s="67">
        <f>+I112*tab!E$8</f>
        <v>0</v>
      </c>
      <c r="AH112" s="67">
        <f>+J112*tab!F$8</f>
        <v>0</v>
      </c>
      <c r="AI112" s="67">
        <f>+K112*tab!G$8</f>
        <v>0</v>
      </c>
      <c r="AJ112" s="67">
        <f>+L112*tab!H$8</f>
        <v>0</v>
      </c>
      <c r="AK112" s="67">
        <f>+M112*tab!I$8</f>
        <v>0</v>
      </c>
      <c r="AL112" s="67">
        <f>+N112*tab!J$8</f>
        <v>0</v>
      </c>
      <c r="AM112" s="70"/>
      <c r="AN112" s="152">
        <v>0</v>
      </c>
      <c r="AO112" s="119">
        <f t="shared" si="37"/>
        <v>0</v>
      </c>
      <c r="AP112" s="119">
        <f t="shared" si="37"/>
        <v>0</v>
      </c>
      <c r="AQ112" s="119">
        <f t="shared" si="37"/>
        <v>0</v>
      </c>
      <c r="AR112" s="119">
        <f t="shared" si="37"/>
        <v>0</v>
      </c>
      <c r="AS112" s="119">
        <f t="shared" si="37"/>
        <v>0</v>
      </c>
      <c r="AT112" s="119">
        <f t="shared" si="37"/>
        <v>0</v>
      </c>
      <c r="AU112" s="91"/>
      <c r="AV112" s="133"/>
    </row>
    <row r="113" spans="2:48" s="112" customFormat="1" x14ac:dyDescent="0.2">
      <c r="B113" s="953"/>
      <c r="C113" s="149"/>
      <c r="D113" s="49">
        <v>99</v>
      </c>
      <c r="E113" s="150" t="s">
        <v>313</v>
      </c>
      <c r="F113" s="831" t="s">
        <v>274</v>
      </c>
      <c r="G113" s="967"/>
      <c r="H113" s="954">
        <v>0</v>
      </c>
      <c r="I113" s="118">
        <f t="shared" si="35"/>
        <v>0</v>
      </c>
      <c r="J113" s="118">
        <f t="shared" si="35"/>
        <v>0</v>
      </c>
      <c r="K113" s="118">
        <f t="shared" si="35"/>
        <v>0</v>
      </c>
      <c r="L113" s="118">
        <f t="shared" si="35"/>
        <v>0</v>
      </c>
      <c r="M113" s="118">
        <f t="shared" si="35"/>
        <v>0</v>
      </c>
      <c r="N113" s="118">
        <f t="shared" si="35"/>
        <v>0</v>
      </c>
      <c r="O113" s="70"/>
      <c r="P113" s="67">
        <f>H113*tab!E$7</f>
        <v>0</v>
      </c>
      <c r="Q113" s="67">
        <f>I113*tab!F$7</f>
        <v>0</v>
      </c>
      <c r="R113" s="67">
        <f>J113*tab!G$7</f>
        <v>0</v>
      </c>
      <c r="S113" s="67">
        <f>K113*tab!H$7</f>
        <v>0</v>
      </c>
      <c r="T113" s="67">
        <f>L113*tab!I$7</f>
        <v>0</v>
      </c>
      <c r="U113" s="67">
        <f>M113*tab!J$7</f>
        <v>0</v>
      </c>
      <c r="V113" s="67">
        <f>N113*tab!K$7</f>
        <v>0</v>
      </c>
      <c r="W113" s="70"/>
      <c r="X113" s="119">
        <v>0</v>
      </c>
      <c r="Y113" s="119">
        <f t="shared" si="38"/>
        <v>0</v>
      </c>
      <c r="Z113" s="119">
        <f t="shared" si="36"/>
        <v>0</v>
      </c>
      <c r="AA113" s="119">
        <f t="shared" si="36"/>
        <v>0</v>
      </c>
      <c r="AB113" s="119">
        <f t="shared" si="36"/>
        <v>0</v>
      </c>
      <c r="AC113" s="119">
        <f t="shared" si="36"/>
        <v>0</v>
      </c>
      <c r="AD113" s="119">
        <f t="shared" si="36"/>
        <v>0</v>
      </c>
      <c r="AE113" s="70"/>
      <c r="AF113" s="67">
        <f>+H113*tab!D$8</f>
        <v>0</v>
      </c>
      <c r="AG113" s="67">
        <f>+I113*tab!E$8</f>
        <v>0</v>
      </c>
      <c r="AH113" s="67">
        <f>+J113*tab!F$8</f>
        <v>0</v>
      </c>
      <c r="AI113" s="67">
        <f>+K113*tab!G$8</f>
        <v>0</v>
      </c>
      <c r="AJ113" s="67">
        <f>+L113*tab!H$8</f>
        <v>0</v>
      </c>
      <c r="AK113" s="67">
        <f>+M113*tab!I$8</f>
        <v>0</v>
      </c>
      <c r="AL113" s="67">
        <f>+N113*tab!J$8</f>
        <v>0</v>
      </c>
      <c r="AM113" s="70"/>
      <c r="AN113" s="152">
        <v>0</v>
      </c>
      <c r="AO113" s="119">
        <f t="shared" si="37"/>
        <v>0</v>
      </c>
      <c r="AP113" s="119">
        <f t="shared" si="37"/>
        <v>0</v>
      </c>
      <c r="AQ113" s="119">
        <f t="shared" si="37"/>
        <v>0</v>
      </c>
      <c r="AR113" s="119">
        <f t="shared" si="37"/>
        <v>0</v>
      </c>
      <c r="AS113" s="119">
        <f t="shared" si="37"/>
        <v>0</v>
      </c>
      <c r="AT113" s="119">
        <f t="shared" si="37"/>
        <v>0</v>
      </c>
      <c r="AU113" s="91"/>
      <c r="AV113" s="133"/>
    </row>
    <row r="114" spans="2:48" s="112" customFormat="1" x14ac:dyDescent="0.2">
      <c r="B114" s="953"/>
      <c r="C114" s="149"/>
      <c r="D114" s="49">
        <v>100</v>
      </c>
      <c r="E114" s="150" t="s">
        <v>314</v>
      </c>
      <c r="F114" s="831" t="s">
        <v>274</v>
      </c>
      <c r="G114" s="967"/>
      <c r="H114" s="954">
        <v>0</v>
      </c>
      <c r="I114" s="118">
        <f t="shared" si="35"/>
        <v>0</v>
      </c>
      <c r="J114" s="118">
        <f t="shared" si="35"/>
        <v>0</v>
      </c>
      <c r="K114" s="118">
        <f t="shared" si="35"/>
        <v>0</v>
      </c>
      <c r="L114" s="118">
        <f t="shared" si="35"/>
        <v>0</v>
      </c>
      <c r="M114" s="118">
        <f t="shared" si="35"/>
        <v>0</v>
      </c>
      <c r="N114" s="118">
        <f t="shared" si="35"/>
        <v>0</v>
      </c>
      <c r="O114" s="70"/>
      <c r="P114" s="67">
        <f>H114*tab!E$7</f>
        <v>0</v>
      </c>
      <c r="Q114" s="67">
        <f>I114*tab!F$7</f>
        <v>0</v>
      </c>
      <c r="R114" s="67">
        <f>J114*tab!G$7</f>
        <v>0</v>
      </c>
      <c r="S114" s="67">
        <f>K114*tab!H$7</f>
        <v>0</v>
      </c>
      <c r="T114" s="67">
        <f>L114*tab!I$7</f>
        <v>0</v>
      </c>
      <c r="U114" s="67">
        <f>M114*tab!J$7</f>
        <v>0</v>
      </c>
      <c r="V114" s="67">
        <f>N114*tab!K$7</f>
        <v>0</v>
      </c>
      <c r="W114" s="70"/>
      <c r="X114" s="119">
        <v>0</v>
      </c>
      <c r="Y114" s="119">
        <f t="shared" si="38"/>
        <v>0</v>
      </c>
      <c r="Z114" s="119">
        <f t="shared" si="36"/>
        <v>0</v>
      </c>
      <c r="AA114" s="119">
        <f t="shared" si="36"/>
        <v>0</v>
      </c>
      <c r="AB114" s="119">
        <f t="shared" si="36"/>
        <v>0</v>
      </c>
      <c r="AC114" s="119">
        <f t="shared" si="36"/>
        <v>0</v>
      </c>
      <c r="AD114" s="119">
        <f t="shared" si="36"/>
        <v>0</v>
      </c>
      <c r="AE114" s="70"/>
      <c r="AF114" s="67">
        <f>+H114*tab!D$8</f>
        <v>0</v>
      </c>
      <c r="AG114" s="67">
        <f>+I114*tab!E$8</f>
        <v>0</v>
      </c>
      <c r="AH114" s="67">
        <f>+J114*tab!F$8</f>
        <v>0</v>
      </c>
      <c r="AI114" s="67">
        <f>+K114*tab!G$8</f>
        <v>0</v>
      </c>
      <c r="AJ114" s="67">
        <f>+L114*tab!H$8</f>
        <v>0</v>
      </c>
      <c r="AK114" s="67">
        <f>+M114*tab!I$8</f>
        <v>0</v>
      </c>
      <c r="AL114" s="67">
        <f>+N114*tab!J$8</f>
        <v>0</v>
      </c>
      <c r="AM114" s="70"/>
      <c r="AN114" s="152">
        <v>0</v>
      </c>
      <c r="AO114" s="119">
        <f t="shared" si="37"/>
        <v>0</v>
      </c>
      <c r="AP114" s="119">
        <f t="shared" si="37"/>
        <v>0</v>
      </c>
      <c r="AQ114" s="119">
        <f t="shared" si="37"/>
        <v>0</v>
      </c>
      <c r="AR114" s="119">
        <f t="shared" si="37"/>
        <v>0</v>
      </c>
      <c r="AS114" s="119">
        <f t="shared" si="37"/>
        <v>0</v>
      </c>
      <c r="AT114" s="119">
        <f t="shared" si="37"/>
        <v>0</v>
      </c>
      <c r="AU114" s="91"/>
      <c r="AV114" s="133"/>
    </row>
    <row r="115" spans="2:48" s="112" customFormat="1" x14ac:dyDescent="0.2">
      <c r="B115" s="953"/>
      <c r="C115" s="149"/>
      <c r="D115" s="49">
        <v>101</v>
      </c>
      <c r="E115" s="150" t="s">
        <v>315</v>
      </c>
      <c r="F115" s="831" t="s">
        <v>274</v>
      </c>
      <c r="G115" s="967"/>
      <c r="H115" s="954">
        <v>0</v>
      </c>
      <c r="I115" s="118">
        <f t="shared" si="35"/>
        <v>0</v>
      </c>
      <c r="J115" s="118">
        <f t="shared" si="35"/>
        <v>0</v>
      </c>
      <c r="K115" s="118">
        <f t="shared" si="35"/>
        <v>0</v>
      </c>
      <c r="L115" s="118">
        <f t="shared" si="35"/>
        <v>0</v>
      </c>
      <c r="M115" s="118">
        <f t="shared" si="35"/>
        <v>0</v>
      </c>
      <c r="N115" s="118">
        <f t="shared" si="35"/>
        <v>0</v>
      </c>
      <c r="O115" s="70"/>
      <c r="P115" s="67">
        <f>H115*tab!E$7</f>
        <v>0</v>
      </c>
      <c r="Q115" s="67">
        <f>I115*tab!F$7</f>
        <v>0</v>
      </c>
      <c r="R115" s="67">
        <f>J115*tab!G$7</f>
        <v>0</v>
      </c>
      <c r="S115" s="67">
        <f>K115*tab!H$7</f>
        <v>0</v>
      </c>
      <c r="T115" s="67">
        <f>L115*tab!I$7</f>
        <v>0</v>
      </c>
      <c r="U115" s="67">
        <f>M115*tab!J$7</f>
        <v>0</v>
      </c>
      <c r="V115" s="67">
        <f>N115*tab!K$7</f>
        <v>0</v>
      </c>
      <c r="W115" s="70"/>
      <c r="X115" s="119">
        <v>0</v>
      </c>
      <c r="Y115" s="119">
        <f t="shared" si="38"/>
        <v>0</v>
      </c>
      <c r="Z115" s="119">
        <f t="shared" si="36"/>
        <v>0</v>
      </c>
      <c r="AA115" s="119">
        <f t="shared" si="36"/>
        <v>0</v>
      </c>
      <c r="AB115" s="119">
        <f t="shared" si="36"/>
        <v>0</v>
      </c>
      <c r="AC115" s="119">
        <f t="shared" si="36"/>
        <v>0</v>
      </c>
      <c r="AD115" s="119">
        <f t="shared" si="36"/>
        <v>0</v>
      </c>
      <c r="AE115" s="70"/>
      <c r="AF115" s="67">
        <f>+H115*tab!D$8</f>
        <v>0</v>
      </c>
      <c r="AG115" s="67">
        <f>+I115*tab!E$8</f>
        <v>0</v>
      </c>
      <c r="AH115" s="67">
        <f>+J115*tab!F$8</f>
        <v>0</v>
      </c>
      <c r="AI115" s="67">
        <f>+K115*tab!G$8</f>
        <v>0</v>
      </c>
      <c r="AJ115" s="67">
        <f>+L115*tab!H$8</f>
        <v>0</v>
      </c>
      <c r="AK115" s="67">
        <f>+M115*tab!I$8</f>
        <v>0</v>
      </c>
      <c r="AL115" s="67">
        <f>+N115*tab!J$8</f>
        <v>0</v>
      </c>
      <c r="AM115" s="70"/>
      <c r="AN115" s="152">
        <v>0</v>
      </c>
      <c r="AO115" s="119">
        <f t="shared" si="37"/>
        <v>0</v>
      </c>
      <c r="AP115" s="119">
        <f t="shared" si="37"/>
        <v>0</v>
      </c>
      <c r="AQ115" s="119">
        <f t="shared" si="37"/>
        <v>0</v>
      </c>
      <c r="AR115" s="119">
        <f t="shared" si="37"/>
        <v>0</v>
      </c>
      <c r="AS115" s="119">
        <f t="shared" si="37"/>
        <v>0</v>
      </c>
      <c r="AT115" s="119">
        <f t="shared" si="37"/>
        <v>0</v>
      </c>
      <c r="AU115" s="91"/>
      <c r="AV115" s="133"/>
    </row>
    <row r="116" spans="2:48" s="112" customFormat="1" x14ac:dyDescent="0.2">
      <c r="B116" s="953"/>
      <c r="C116" s="149"/>
      <c r="D116" s="49">
        <v>102</v>
      </c>
      <c r="E116" s="150" t="s">
        <v>316</v>
      </c>
      <c r="F116" s="831" t="s">
        <v>274</v>
      </c>
      <c r="G116" s="967"/>
      <c r="H116" s="954">
        <v>0</v>
      </c>
      <c r="I116" s="118">
        <f t="shared" si="35"/>
        <v>0</v>
      </c>
      <c r="J116" s="118">
        <f t="shared" si="35"/>
        <v>0</v>
      </c>
      <c r="K116" s="118">
        <f t="shared" si="35"/>
        <v>0</v>
      </c>
      <c r="L116" s="118">
        <f t="shared" si="35"/>
        <v>0</v>
      </c>
      <c r="M116" s="118">
        <f t="shared" si="35"/>
        <v>0</v>
      </c>
      <c r="N116" s="118">
        <f t="shared" si="35"/>
        <v>0</v>
      </c>
      <c r="O116" s="70"/>
      <c r="P116" s="67">
        <f>H116*tab!E$7</f>
        <v>0</v>
      </c>
      <c r="Q116" s="67">
        <f>I116*tab!F$7</f>
        <v>0</v>
      </c>
      <c r="R116" s="67">
        <f>J116*tab!G$7</f>
        <v>0</v>
      </c>
      <c r="S116" s="67">
        <f>K116*tab!H$7</f>
        <v>0</v>
      </c>
      <c r="T116" s="67">
        <f>L116*tab!I$7</f>
        <v>0</v>
      </c>
      <c r="U116" s="67">
        <f>M116*tab!J$7</f>
        <v>0</v>
      </c>
      <c r="V116" s="67">
        <f>N116*tab!K$7</f>
        <v>0</v>
      </c>
      <c r="W116" s="70"/>
      <c r="X116" s="119">
        <v>0</v>
      </c>
      <c r="Y116" s="119">
        <f t="shared" si="38"/>
        <v>0</v>
      </c>
      <c r="Z116" s="119">
        <f t="shared" si="36"/>
        <v>0</v>
      </c>
      <c r="AA116" s="119">
        <f t="shared" si="36"/>
        <v>0</v>
      </c>
      <c r="AB116" s="119">
        <f t="shared" si="36"/>
        <v>0</v>
      </c>
      <c r="AC116" s="119">
        <f t="shared" si="36"/>
        <v>0</v>
      </c>
      <c r="AD116" s="119">
        <f t="shared" si="36"/>
        <v>0</v>
      </c>
      <c r="AE116" s="70"/>
      <c r="AF116" s="67">
        <f>+H116*tab!D$8</f>
        <v>0</v>
      </c>
      <c r="AG116" s="67">
        <f>+I116*tab!E$8</f>
        <v>0</v>
      </c>
      <c r="AH116" s="67">
        <f>+J116*tab!F$8</f>
        <v>0</v>
      </c>
      <c r="AI116" s="67">
        <f>+K116*tab!G$8</f>
        <v>0</v>
      </c>
      <c r="AJ116" s="67">
        <f>+L116*tab!H$8</f>
        <v>0</v>
      </c>
      <c r="AK116" s="67">
        <f>+M116*tab!I$8</f>
        <v>0</v>
      </c>
      <c r="AL116" s="67">
        <f>+N116*tab!J$8</f>
        <v>0</v>
      </c>
      <c r="AM116" s="70"/>
      <c r="AN116" s="152">
        <v>0</v>
      </c>
      <c r="AO116" s="119">
        <f t="shared" si="37"/>
        <v>0</v>
      </c>
      <c r="AP116" s="119">
        <f t="shared" si="37"/>
        <v>0</v>
      </c>
      <c r="AQ116" s="119">
        <f t="shared" si="37"/>
        <v>0</v>
      </c>
      <c r="AR116" s="119">
        <f t="shared" si="37"/>
        <v>0</v>
      </c>
      <c r="AS116" s="119">
        <f t="shared" si="37"/>
        <v>0</v>
      </c>
      <c r="AT116" s="119">
        <f t="shared" si="37"/>
        <v>0</v>
      </c>
      <c r="AU116" s="91"/>
      <c r="AV116" s="133"/>
    </row>
    <row r="117" spans="2:48" s="112" customFormat="1" x14ac:dyDescent="0.2">
      <c r="B117" s="953"/>
      <c r="C117" s="149"/>
      <c r="D117" s="49">
        <v>103</v>
      </c>
      <c r="E117" s="150" t="s">
        <v>317</v>
      </c>
      <c r="F117" s="831" t="s">
        <v>274</v>
      </c>
      <c r="G117" s="967"/>
      <c r="H117" s="954">
        <v>0</v>
      </c>
      <c r="I117" s="118">
        <f t="shared" ref="I117:N136" si="39">H117</f>
        <v>0</v>
      </c>
      <c r="J117" s="118">
        <f t="shared" si="39"/>
        <v>0</v>
      </c>
      <c r="K117" s="118">
        <f t="shared" si="39"/>
        <v>0</v>
      </c>
      <c r="L117" s="118">
        <f t="shared" si="39"/>
        <v>0</v>
      </c>
      <c r="M117" s="118">
        <f t="shared" si="39"/>
        <v>0</v>
      </c>
      <c r="N117" s="118">
        <f t="shared" si="39"/>
        <v>0</v>
      </c>
      <c r="O117" s="70"/>
      <c r="P117" s="67">
        <f>H117*tab!E$7</f>
        <v>0</v>
      </c>
      <c r="Q117" s="67">
        <f>I117*tab!F$7</f>
        <v>0</v>
      </c>
      <c r="R117" s="67">
        <f>J117*tab!G$7</f>
        <v>0</v>
      </c>
      <c r="S117" s="67">
        <f>K117*tab!H$7</f>
        <v>0</v>
      </c>
      <c r="T117" s="67">
        <f>L117*tab!I$7</f>
        <v>0</v>
      </c>
      <c r="U117" s="67">
        <f>M117*tab!J$7</f>
        <v>0</v>
      </c>
      <c r="V117" s="67">
        <f>N117*tab!K$7</f>
        <v>0</v>
      </c>
      <c r="W117" s="70"/>
      <c r="X117" s="119">
        <v>0</v>
      </c>
      <c r="Y117" s="119">
        <f t="shared" si="38"/>
        <v>0</v>
      </c>
      <c r="Z117" s="119">
        <f t="shared" si="36"/>
        <v>0</v>
      </c>
      <c r="AA117" s="119">
        <f t="shared" si="36"/>
        <v>0</v>
      </c>
      <c r="AB117" s="119">
        <f t="shared" si="36"/>
        <v>0</v>
      </c>
      <c r="AC117" s="119">
        <f t="shared" si="36"/>
        <v>0</v>
      </c>
      <c r="AD117" s="119">
        <f t="shared" si="36"/>
        <v>0</v>
      </c>
      <c r="AE117" s="70"/>
      <c r="AF117" s="67">
        <f>+H117*tab!D$8</f>
        <v>0</v>
      </c>
      <c r="AG117" s="67">
        <f>+I117*tab!E$8</f>
        <v>0</v>
      </c>
      <c r="AH117" s="67">
        <f>+J117*tab!F$8</f>
        <v>0</v>
      </c>
      <c r="AI117" s="67">
        <f>+K117*tab!G$8</f>
        <v>0</v>
      </c>
      <c r="AJ117" s="67">
        <f>+L117*tab!H$8</f>
        <v>0</v>
      </c>
      <c r="AK117" s="67">
        <f>+M117*tab!I$8</f>
        <v>0</v>
      </c>
      <c r="AL117" s="67">
        <f>+N117*tab!J$8</f>
        <v>0</v>
      </c>
      <c r="AM117" s="70"/>
      <c r="AN117" s="152">
        <v>0</v>
      </c>
      <c r="AO117" s="119">
        <f t="shared" si="37"/>
        <v>0</v>
      </c>
      <c r="AP117" s="119">
        <f t="shared" si="37"/>
        <v>0</v>
      </c>
      <c r="AQ117" s="119">
        <f t="shared" si="37"/>
        <v>0</v>
      </c>
      <c r="AR117" s="119">
        <f t="shared" si="37"/>
        <v>0</v>
      </c>
      <c r="AS117" s="119">
        <f t="shared" si="37"/>
        <v>0</v>
      </c>
      <c r="AT117" s="119">
        <f t="shared" si="37"/>
        <v>0</v>
      </c>
      <c r="AU117" s="91"/>
      <c r="AV117" s="133"/>
    </row>
    <row r="118" spans="2:48" s="112" customFormat="1" x14ac:dyDescent="0.2">
      <c r="B118" s="953"/>
      <c r="C118" s="149"/>
      <c r="D118" s="49">
        <v>104</v>
      </c>
      <c r="E118" s="150" t="s">
        <v>318</v>
      </c>
      <c r="F118" s="831" t="s">
        <v>274</v>
      </c>
      <c r="G118" s="967"/>
      <c r="H118" s="954">
        <v>0</v>
      </c>
      <c r="I118" s="118">
        <f t="shared" si="39"/>
        <v>0</v>
      </c>
      <c r="J118" s="118">
        <f t="shared" si="39"/>
        <v>0</v>
      </c>
      <c r="K118" s="118">
        <f t="shared" si="39"/>
        <v>0</v>
      </c>
      <c r="L118" s="118">
        <f t="shared" si="39"/>
        <v>0</v>
      </c>
      <c r="M118" s="118">
        <f t="shared" si="39"/>
        <v>0</v>
      </c>
      <c r="N118" s="118">
        <f t="shared" si="39"/>
        <v>0</v>
      </c>
      <c r="O118" s="70"/>
      <c r="P118" s="67">
        <f>H118*tab!E$7</f>
        <v>0</v>
      </c>
      <c r="Q118" s="67">
        <f>I118*tab!F$7</f>
        <v>0</v>
      </c>
      <c r="R118" s="67">
        <f>J118*tab!G$7</f>
        <v>0</v>
      </c>
      <c r="S118" s="67">
        <f>K118*tab!H$7</f>
        <v>0</v>
      </c>
      <c r="T118" s="67">
        <f>L118*tab!I$7</f>
        <v>0</v>
      </c>
      <c r="U118" s="67">
        <f>M118*tab!J$7</f>
        <v>0</v>
      </c>
      <c r="V118" s="67">
        <f>N118*tab!K$7</f>
        <v>0</v>
      </c>
      <c r="W118" s="70"/>
      <c r="X118" s="119">
        <v>0</v>
      </c>
      <c r="Y118" s="119">
        <f t="shared" si="38"/>
        <v>0</v>
      </c>
      <c r="Z118" s="119">
        <f t="shared" si="36"/>
        <v>0</v>
      </c>
      <c r="AA118" s="119">
        <f t="shared" si="36"/>
        <v>0</v>
      </c>
      <c r="AB118" s="119">
        <f t="shared" si="36"/>
        <v>0</v>
      </c>
      <c r="AC118" s="119">
        <f t="shared" si="36"/>
        <v>0</v>
      </c>
      <c r="AD118" s="119">
        <f t="shared" si="36"/>
        <v>0</v>
      </c>
      <c r="AE118" s="70"/>
      <c r="AF118" s="67">
        <f>+H118*tab!D$8</f>
        <v>0</v>
      </c>
      <c r="AG118" s="67">
        <f>+I118*tab!E$8</f>
        <v>0</v>
      </c>
      <c r="AH118" s="67">
        <f>+J118*tab!F$8</f>
        <v>0</v>
      </c>
      <c r="AI118" s="67">
        <f>+K118*tab!G$8</f>
        <v>0</v>
      </c>
      <c r="AJ118" s="67">
        <f>+L118*tab!H$8</f>
        <v>0</v>
      </c>
      <c r="AK118" s="67">
        <f>+M118*tab!I$8</f>
        <v>0</v>
      </c>
      <c r="AL118" s="67">
        <f>+N118*tab!J$8</f>
        <v>0</v>
      </c>
      <c r="AM118" s="70"/>
      <c r="AN118" s="152">
        <v>0</v>
      </c>
      <c r="AO118" s="119">
        <f t="shared" si="37"/>
        <v>0</v>
      </c>
      <c r="AP118" s="119">
        <f t="shared" si="37"/>
        <v>0</v>
      </c>
      <c r="AQ118" s="119">
        <f t="shared" si="37"/>
        <v>0</v>
      </c>
      <c r="AR118" s="119">
        <f t="shared" si="37"/>
        <v>0</v>
      </c>
      <c r="AS118" s="119">
        <f t="shared" si="37"/>
        <v>0</v>
      </c>
      <c r="AT118" s="119">
        <f t="shared" si="37"/>
        <v>0</v>
      </c>
      <c r="AU118" s="91"/>
      <c r="AV118" s="133"/>
    </row>
    <row r="119" spans="2:48" s="112" customFormat="1" x14ac:dyDescent="0.2">
      <c r="B119" s="953"/>
      <c r="C119" s="149"/>
      <c r="D119" s="49">
        <v>105</v>
      </c>
      <c r="E119" s="150" t="s">
        <v>319</v>
      </c>
      <c r="F119" s="831" t="s">
        <v>274</v>
      </c>
      <c r="G119" s="967"/>
      <c r="H119" s="954">
        <v>0</v>
      </c>
      <c r="I119" s="118">
        <f t="shared" si="39"/>
        <v>0</v>
      </c>
      <c r="J119" s="118">
        <f t="shared" si="39"/>
        <v>0</v>
      </c>
      <c r="K119" s="118">
        <f t="shared" si="39"/>
        <v>0</v>
      </c>
      <c r="L119" s="118">
        <f t="shared" si="39"/>
        <v>0</v>
      </c>
      <c r="M119" s="118">
        <f t="shared" si="39"/>
        <v>0</v>
      </c>
      <c r="N119" s="118">
        <f t="shared" si="39"/>
        <v>0</v>
      </c>
      <c r="O119" s="70"/>
      <c r="P119" s="67">
        <f>H119*tab!E$7</f>
        <v>0</v>
      </c>
      <c r="Q119" s="67">
        <f>I119*tab!F$7</f>
        <v>0</v>
      </c>
      <c r="R119" s="67">
        <f>J119*tab!G$7</f>
        <v>0</v>
      </c>
      <c r="S119" s="67">
        <f>K119*tab!H$7</f>
        <v>0</v>
      </c>
      <c r="T119" s="67">
        <f>L119*tab!I$7</f>
        <v>0</v>
      </c>
      <c r="U119" s="67">
        <f>M119*tab!J$7</f>
        <v>0</v>
      </c>
      <c r="V119" s="67">
        <f>N119*tab!K$7</f>
        <v>0</v>
      </c>
      <c r="W119" s="70"/>
      <c r="X119" s="119">
        <v>0</v>
      </c>
      <c r="Y119" s="119">
        <f t="shared" si="38"/>
        <v>0</v>
      </c>
      <c r="Z119" s="119">
        <f t="shared" si="36"/>
        <v>0</v>
      </c>
      <c r="AA119" s="119">
        <f t="shared" si="36"/>
        <v>0</v>
      </c>
      <c r="AB119" s="119">
        <f t="shared" si="36"/>
        <v>0</v>
      </c>
      <c r="AC119" s="119">
        <f t="shared" si="36"/>
        <v>0</v>
      </c>
      <c r="AD119" s="119">
        <f t="shared" si="36"/>
        <v>0</v>
      </c>
      <c r="AE119" s="70"/>
      <c r="AF119" s="67">
        <f>+H119*tab!D$8</f>
        <v>0</v>
      </c>
      <c r="AG119" s="67">
        <f>+I119*tab!E$8</f>
        <v>0</v>
      </c>
      <c r="AH119" s="67">
        <f>+J119*tab!F$8</f>
        <v>0</v>
      </c>
      <c r="AI119" s="67">
        <f>+K119*tab!G$8</f>
        <v>0</v>
      </c>
      <c r="AJ119" s="67">
        <f>+L119*tab!H$8</f>
        <v>0</v>
      </c>
      <c r="AK119" s="67">
        <f>+M119*tab!I$8</f>
        <v>0</v>
      </c>
      <c r="AL119" s="67">
        <f>+N119*tab!J$8</f>
        <v>0</v>
      </c>
      <c r="AM119" s="70"/>
      <c r="AN119" s="152">
        <v>0</v>
      </c>
      <c r="AO119" s="119">
        <f t="shared" si="37"/>
        <v>0</v>
      </c>
      <c r="AP119" s="119">
        <f t="shared" si="37"/>
        <v>0</v>
      </c>
      <c r="AQ119" s="119">
        <f t="shared" si="37"/>
        <v>0</v>
      </c>
      <c r="AR119" s="119">
        <f t="shared" si="37"/>
        <v>0</v>
      </c>
      <c r="AS119" s="119">
        <f t="shared" si="37"/>
        <v>0</v>
      </c>
      <c r="AT119" s="119">
        <f t="shared" si="37"/>
        <v>0</v>
      </c>
      <c r="AU119" s="91"/>
      <c r="AV119" s="133"/>
    </row>
    <row r="120" spans="2:48" s="112" customFormat="1" x14ac:dyDescent="0.2">
      <c r="B120" s="953"/>
      <c r="C120" s="149"/>
      <c r="D120" s="49">
        <v>106</v>
      </c>
      <c r="E120" s="150" t="s">
        <v>320</v>
      </c>
      <c r="F120" s="831" t="s">
        <v>274</v>
      </c>
      <c r="G120" s="967"/>
      <c r="H120" s="954">
        <v>0</v>
      </c>
      <c r="I120" s="118">
        <f t="shared" si="39"/>
        <v>0</v>
      </c>
      <c r="J120" s="118">
        <f t="shared" si="39"/>
        <v>0</v>
      </c>
      <c r="K120" s="118">
        <f t="shared" si="39"/>
        <v>0</v>
      </c>
      <c r="L120" s="118">
        <f t="shared" si="39"/>
        <v>0</v>
      </c>
      <c r="M120" s="118">
        <f t="shared" si="39"/>
        <v>0</v>
      </c>
      <c r="N120" s="118">
        <f t="shared" si="39"/>
        <v>0</v>
      </c>
      <c r="O120" s="70"/>
      <c r="P120" s="67">
        <f>H120*tab!E$7</f>
        <v>0</v>
      </c>
      <c r="Q120" s="67">
        <f>I120*tab!F$7</f>
        <v>0</v>
      </c>
      <c r="R120" s="67">
        <f>J120*tab!G$7</f>
        <v>0</v>
      </c>
      <c r="S120" s="67">
        <f>K120*tab!H$7</f>
        <v>0</v>
      </c>
      <c r="T120" s="67">
        <f>L120*tab!I$7</f>
        <v>0</v>
      </c>
      <c r="U120" s="67">
        <f>M120*tab!J$7</f>
        <v>0</v>
      </c>
      <c r="V120" s="67">
        <f>N120*tab!K$7</f>
        <v>0</v>
      </c>
      <c r="W120" s="70"/>
      <c r="X120" s="119">
        <v>0</v>
      </c>
      <c r="Y120" s="119">
        <f t="shared" si="38"/>
        <v>0</v>
      </c>
      <c r="Z120" s="119">
        <f t="shared" si="36"/>
        <v>0</v>
      </c>
      <c r="AA120" s="119">
        <f t="shared" si="36"/>
        <v>0</v>
      </c>
      <c r="AB120" s="119">
        <f t="shared" si="36"/>
        <v>0</v>
      </c>
      <c r="AC120" s="119">
        <f t="shared" si="36"/>
        <v>0</v>
      </c>
      <c r="AD120" s="119">
        <f t="shared" si="36"/>
        <v>0</v>
      </c>
      <c r="AE120" s="70"/>
      <c r="AF120" s="67">
        <f>+H120*tab!D$8</f>
        <v>0</v>
      </c>
      <c r="AG120" s="67">
        <f>+I120*tab!E$8</f>
        <v>0</v>
      </c>
      <c r="AH120" s="67">
        <f>+J120*tab!F$8</f>
        <v>0</v>
      </c>
      <c r="AI120" s="67">
        <f>+K120*tab!G$8</f>
        <v>0</v>
      </c>
      <c r="AJ120" s="67">
        <f>+L120*tab!H$8</f>
        <v>0</v>
      </c>
      <c r="AK120" s="67">
        <f>+M120*tab!I$8</f>
        <v>0</v>
      </c>
      <c r="AL120" s="67">
        <f>+N120*tab!J$8</f>
        <v>0</v>
      </c>
      <c r="AM120" s="70"/>
      <c r="AN120" s="152">
        <v>0</v>
      </c>
      <c r="AO120" s="119">
        <f t="shared" si="37"/>
        <v>0</v>
      </c>
      <c r="AP120" s="119">
        <f t="shared" si="37"/>
        <v>0</v>
      </c>
      <c r="AQ120" s="119">
        <f t="shared" si="37"/>
        <v>0</v>
      </c>
      <c r="AR120" s="119">
        <f t="shared" si="37"/>
        <v>0</v>
      </c>
      <c r="AS120" s="119">
        <f t="shared" si="37"/>
        <v>0</v>
      </c>
      <c r="AT120" s="119">
        <f t="shared" si="37"/>
        <v>0</v>
      </c>
      <c r="AU120" s="91"/>
      <c r="AV120" s="133"/>
    </row>
    <row r="121" spans="2:48" s="112" customFormat="1" x14ac:dyDescent="0.2">
      <c r="B121" s="953"/>
      <c r="C121" s="149"/>
      <c r="D121" s="49">
        <v>107</v>
      </c>
      <c r="E121" s="150" t="s">
        <v>321</v>
      </c>
      <c r="F121" s="831" t="s">
        <v>274</v>
      </c>
      <c r="G121" s="967"/>
      <c r="H121" s="954">
        <v>0</v>
      </c>
      <c r="I121" s="118">
        <f t="shared" si="39"/>
        <v>0</v>
      </c>
      <c r="J121" s="118">
        <f t="shared" si="39"/>
        <v>0</v>
      </c>
      <c r="K121" s="118">
        <f t="shared" si="39"/>
        <v>0</v>
      </c>
      <c r="L121" s="118">
        <f t="shared" si="39"/>
        <v>0</v>
      </c>
      <c r="M121" s="118">
        <f t="shared" si="39"/>
        <v>0</v>
      </c>
      <c r="N121" s="118">
        <f t="shared" si="39"/>
        <v>0</v>
      </c>
      <c r="O121" s="70"/>
      <c r="P121" s="67">
        <f>H121*tab!E$7</f>
        <v>0</v>
      </c>
      <c r="Q121" s="67">
        <f>I121*tab!F$7</f>
        <v>0</v>
      </c>
      <c r="R121" s="67">
        <f>J121*tab!G$7</f>
        <v>0</v>
      </c>
      <c r="S121" s="67">
        <f>K121*tab!H$7</f>
        <v>0</v>
      </c>
      <c r="T121" s="67">
        <f>L121*tab!I$7</f>
        <v>0</v>
      </c>
      <c r="U121" s="67">
        <f>M121*tab!J$7</f>
        <v>0</v>
      </c>
      <c r="V121" s="67">
        <f>N121*tab!K$7</f>
        <v>0</v>
      </c>
      <c r="W121" s="70"/>
      <c r="X121" s="119">
        <v>0</v>
      </c>
      <c r="Y121" s="119">
        <f t="shared" si="38"/>
        <v>0</v>
      </c>
      <c r="Z121" s="119">
        <f t="shared" si="36"/>
        <v>0</v>
      </c>
      <c r="AA121" s="119">
        <f t="shared" si="36"/>
        <v>0</v>
      </c>
      <c r="AB121" s="119">
        <f t="shared" si="36"/>
        <v>0</v>
      </c>
      <c r="AC121" s="119">
        <f t="shared" si="36"/>
        <v>0</v>
      </c>
      <c r="AD121" s="119">
        <f t="shared" si="36"/>
        <v>0</v>
      </c>
      <c r="AE121" s="70"/>
      <c r="AF121" s="67">
        <f>+H121*tab!D$8</f>
        <v>0</v>
      </c>
      <c r="AG121" s="67">
        <f>+I121*tab!E$8</f>
        <v>0</v>
      </c>
      <c r="AH121" s="67">
        <f>+J121*tab!F$8</f>
        <v>0</v>
      </c>
      <c r="AI121" s="67">
        <f>+K121*tab!G$8</f>
        <v>0</v>
      </c>
      <c r="AJ121" s="67">
        <f>+L121*tab!H$8</f>
        <v>0</v>
      </c>
      <c r="AK121" s="67">
        <f>+M121*tab!I$8</f>
        <v>0</v>
      </c>
      <c r="AL121" s="67">
        <f>+N121*tab!J$8</f>
        <v>0</v>
      </c>
      <c r="AM121" s="70"/>
      <c r="AN121" s="152">
        <v>0</v>
      </c>
      <c r="AO121" s="119">
        <f t="shared" si="37"/>
        <v>0</v>
      </c>
      <c r="AP121" s="119">
        <f t="shared" si="37"/>
        <v>0</v>
      </c>
      <c r="AQ121" s="119">
        <f t="shared" si="37"/>
        <v>0</v>
      </c>
      <c r="AR121" s="119">
        <f t="shared" si="37"/>
        <v>0</v>
      </c>
      <c r="AS121" s="119">
        <f t="shared" si="37"/>
        <v>0</v>
      </c>
      <c r="AT121" s="119">
        <f t="shared" si="37"/>
        <v>0</v>
      </c>
      <c r="AU121" s="91"/>
      <c r="AV121" s="133"/>
    </row>
    <row r="122" spans="2:48" s="112" customFormat="1" x14ac:dyDescent="0.2">
      <c r="B122" s="953"/>
      <c r="C122" s="149"/>
      <c r="D122" s="49">
        <v>108</v>
      </c>
      <c r="E122" s="150" t="s">
        <v>322</v>
      </c>
      <c r="F122" s="831" t="s">
        <v>274</v>
      </c>
      <c r="G122" s="967"/>
      <c r="H122" s="954">
        <v>0</v>
      </c>
      <c r="I122" s="118">
        <f t="shared" si="39"/>
        <v>0</v>
      </c>
      <c r="J122" s="118">
        <f t="shared" si="39"/>
        <v>0</v>
      </c>
      <c r="K122" s="118">
        <f t="shared" si="39"/>
        <v>0</v>
      </c>
      <c r="L122" s="118">
        <f t="shared" si="39"/>
        <v>0</v>
      </c>
      <c r="M122" s="118">
        <f t="shared" si="39"/>
        <v>0</v>
      </c>
      <c r="N122" s="118">
        <f t="shared" si="39"/>
        <v>0</v>
      </c>
      <c r="O122" s="70"/>
      <c r="P122" s="67">
        <f>H122*tab!E$7</f>
        <v>0</v>
      </c>
      <c r="Q122" s="67">
        <f>I122*tab!F$7</f>
        <v>0</v>
      </c>
      <c r="R122" s="67">
        <f>J122*tab!G$7</f>
        <v>0</v>
      </c>
      <c r="S122" s="67">
        <f>K122*tab!H$7</f>
        <v>0</v>
      </c>
      <c r="T122" s="67">
        <f>L122*tab!I$7</f>
        <v>0</v>
      </c>
      <c r="U122" s="67">
        <f>M122*tab!J$7</f>
        <v>0</v>
      </c>
      <c r="V122" s="67">
        <f>N122*tab!K$7</f>
        <v>0</v>
      </c>
      <c r="W122" s="70"/>
      <c r="X122" s="119">
        <v>0</v>
      </c>
      <c r="Y122" s="119">
        <f t="shared" si="38"/>
        <v>0</v>
      </c>
      <c r="Z122" s="119">
        <f t="shared" si="36"/>
        <v>0</v>
      </c>
      <c r="AA122" s="119">
        <f t="shared" si="36"/>
        <v>0</v>
      </c>
      <c r="AB122" s="119">
        <f t="shared" si="36"/>
        <v>0</v>
      </c>
      <c r="AC122" s="119">
        <f t="shared" si="36"/>
        <v>0</v>
      </c>
      <c r="AD122" s="119">
        <f t="shared" si="36"/>
        <v>0</v>
      </c>
      <c r="AE122" s="70"/>
      <c r="AF122" s="67">
        <f>+H122*tab!D$8</f>
        <v>0</v>
      </c>
      <c r="AG122" s="67">
        <f>+I122*tab!E$8</f>
        <v>0</v>
      </c>
      <c r="AH122" s="67">
        <f>+J122*tab!F$8</f>
        <v>0</v>
      </c>
      <c r="AI122" s="67">
        <f>+K122*tab!G$8</f>
        <v>0</v>
      </c>
      <c r="AJ122" s="67">
        <f>+L122*tab!H$8</f>
        <v>0</v>
      </c>
      <c r="AK122" s="67">
        <f>+M122*tab!I$8</f>
        <v>0</v>
      </c>
      <c r="AL122" s="67">
        <f>+N122*tab!J$8</f>
        <v>0</v>
      </c>
      <c r="AM122" s="70"/>
      <c r="AN122" s="152">
        <v>0</v>
      </c>
      <c r="AO122" s="119">
        <f t="shared" si="37"/>
        <v>0</v>
      </c>
      <c r="AP122" s="119">
        <f t="shared" si="37"/>
        <v>0</v>
      </c>
      <c r="AQ122" s="119">
        <f t="shared" si="37"/>
        <v>0</v>
      </c>
      <c r="AR122" s="119">
        <f t="shared" si="37"/>
        <v>0</v>
      </c>
      <c r="AS122" s="119">
        <f t="shared" si="37"/>
        <v>0</v>
      </c>
      <c r="AT122" s="119">
        <f t="shared" si="37"/>
        <v>0</v>
      </c>
      <c r="AU122" s="91"/>
      <c r="AV122" s="133"/>
    </row>
    <row r="123" spans="2:48" s="112" customFormat="1" x14ac:dyDescent="0.2">
      <c r="B123" s="953"/>
      <c r="C123" s="149"/>
      <c r="D123" s="49">
        <v>109</v>
      </c>
      <c r="E123" s="150" t="s">
        <v>323</v>
      </c>
      <c r="F123" s="831" t="s">
        <v>274</v>
      </c>
      <c r="G123" s="967"/>
      <c r="H123" s="954">
        <v>0</v>
      </c>
      <c r="I123" s="118">
        <f t="shared" si="39"/>
        <v>0</v>
      </c>
      <c r="J123" s="118">
        <f t="shared" si="39"/>
        <v>0</v>
      </c>
      <c r="K123" s="118">
        <f t="shared" si="39"/>
        <v>0</v>
      </c>
      <c r="L123" s="118">
        <f t="shared" si="39"/>
        <v>0</v>
      </c>
      <c r="M123" s="118">
        <f t="shared" si="39"/>
        <v>0</v>
      </c>
      <c r="N123" s="118">
        <f t="shared" si="39"/>
        <v>0</v>
      </c>
      <c r="O123" s="70"/>
      <c r="P123" s="67">
        <f>H123*tab!E$7</f>
        <v>0</v>
      </c>
      <c r="Q123" s="67">
        <f>I123*tab!F$7</f>
        <v>0</v>
      </c>
      <c r="R123" s="67">
        <f>J123*tab!G$7</f>
        <v>0</v>
      </c>
      <c r="S123" s="67">
        <f>K123*tab!H$7</f>
        <v>0</v>
      </c>
      <c r="T123" s="67">
        <f>L123*tab!I$7</f>
        <v>0</v>
      </c>
      <c r="U123" s="67">
        <f>M123*tab!J$7</f>
        <v>0</v>
      </c>
      <c r="V123" s="67">
        <f>N123*tab!K$7</f>
        <v>0</v>
      </c>
      <c r="W123" s="70"/>
      <c r="X123" s="119">
        <v>0</v>
      </c>
      <c r="Y123" s="119">
        <f t="shared" si="38"/>
        <v>0</v>
      </c>
      <c r="Z123" s="119">
        <f t="shared" ref="Z123:AD139" si="40">Y123</f>
        <v>0</v>
      </c>
      <c r="AA123" s="119">
        <f t="shared" si="40"/>
        <v>0</v>
      </c>
      <c r="AB123" s="119">
        <f t="shared" si="40"/>
        <v>0</v>
      </c>
      <c r="AC123" s="119">
        <f t="shared" si="40"/>
        <v>0</v>
      </c>
      <c r="AD123" s="119">
        <f t="shared" si="40"/>
        <v>0</v>
      </c>
      <c r="AE123" s="70"/>
      <c r="AF123" s="67">
        <f>+H123*tab!D$8</f>
        <v>0</v>
      </c>
      <c r="AG123" s="67">
        <f>+I123*tab!E$8</f>
        <v>0</v>
      </c>
      <c r="AH123" s="67">
        <f>+J123*tab!F$8</f>
        <v>0</v>
      </c>
      <c r="AI123" s="67">
        <f>+K123*tab!G$8</f>
        <v>0</v>
      </c>
      <c r="AJ123" s="67">
        <f>+L123*tab!H$8</f>
        <v>0</v>
      </c>
      <c r="AK123" s="67">
        <f>+M123*tab!I$8</f>
        <v>0</v>
      </c>
      <c r="AL123" s="67">
        <f>+N123*tab!J$8</f>
        <v>0</v>
      </c>
      <c r="AM123" s="70"/>
      <c r="AN123" s="152">
        <v>0</v>
      </c>
      <c r="AO123" s="119">
        <f t="shared" si="37"/>
        <v>0</v>
      </c>
      <c r="AP123" s="119">
        <f t="shared" si="37"/>
        <v>0</v>
      </c>
      <c r="AQ123" s="119">
        <f t="shared" si="37"/>
        <v>0</v>
      </c>
      <c r="AR123" s="119">
        <f t="shared" si="37"/>
        <v>0</v>
      </c>
      <c r="AS123" s="119">
        <f t="shared" si="37"/>
        <v>0</v>
      </c>
      <c r="AT123" s="119">
        <f t="shared" si="37"/>
        <v>0</v>
      </c>
      <c r="AU123" s="91"/>
      <c r="AV123" s="133"/>
    </row>
    <row r="124" spans="2:48" s="112" customFormat="1" x14ac:dyDescent="0.2">
      <c r="B124" s="953"/>
      <c r="C124" s="149"/>
      <c r="D124" s="49">
        <v>110</v>
      </c>
      <c r="E124" s="150" t="s">
        <v>324</v>
      </c>
      <c r="F124" s="831" t="s">
        <v>274</v>
      </c>
      <c r="G124" s="967"/>
      <c r="H124" s="954">
        <v>0</v>
      </c>
      <c r="I124" s="118">
        <f t="shared" si="39"/>
        <v>0</v>
      </c>
      <c r="J124" s="118">
        <f t="shared" si="39"/>
        <v>0</v>
      </c>
      <c r="K124" s="118">
        <f t="shared" si="39"/>
        <v>0</v>
      </c>
      <c r="L124" s="118">
        <f t="shared" si="39"/>
        <v>0</v>
      </c>
      <c r="M124" s="118">
        <f t="shared" si="39"/>
        <v>0</v>
      </c>
      <c r="N124" s="118">
        <f t="shared" si="39"/>
        <v>0</v>
      </c>
      <c r="O124" s="70"/>
      <c r="P124" s="67">
        <f>H124*tab!E$7</f>
        <v>0</v>
      </c>
      <c r="Q124" s="67">
        <f>I124*tab!F$7</f>
        <v>0</v>
      </c>
      <c r="R124" s="67">
        <f>J124*tab!G$7</f>
        <v>0</v>
      </c>
      <c r="S124" s="67">
        <f>K124*tab!H$7</f>
        <v>0</v>
      </c>
      <c r="T124" s="67">
        <f>L124*tab!I$7</f>
        <v>0</v>
      </c>
      <c r="U124" s="67">
        <f>M124*tab!J$7</f>
        <v>0</v>
      </c>
      <c r="V124" s="67">
        <f>N124*tab!K$7</f>
        <v>0</v>
      </c>
      <c r="W124" s="70"/>
      <c r="X124" s="119">
        <v>0</v>
      </c>
      <c r="Y124" s="119">
        <f t="shared" si="38"/>
        <v>0</v>
      </c>
      <c r="Z124" s="119">
        <f t="shared" si="40"/>
        <v>0</v>
      </c>
      <c r="AA124" s="119">
        <f t="shared" si="40"/>
        <v>0</v>
      </c>
      <c r="AB124" s="119">
        <f t="shared" si="40"/>
        <v>0</v>
      </c>
      <c r="AC124" s="119">
        <f t="shared" si="40"/>
        <v>0</v>
      </c>
      <c r="AD124" s="119">
        <f t="shared" si="40"/>
        <v>0</v>
      </c>
      <c r="AE124" s="70"/>
      <c r="AF124" s="67">
        <f>+H124*tab!D$8</f>
        <v>0</v>
      </c>
      <c r="AG124" s="67">
        <f>+I124*tab!E$8</f>
        <v>0</v>
      </c>
      <c r="AH124" s="67">
        <f>+J124*tab!F$8</f>
        <v>0</v>
      </c>
      <c r="AI124" s="67">
        <f>+K124*tab!G$8</f>
        <v>0</v>
      </c>
      <c r="AJ124" s="67">
        <f>+L124*tab!H$8</f>
        <v>0</v>
      </c>
      <c r="AK124" s="67">
        <f>+M124*tab!I$8</f>
        <v>0</v>
      </c>
      <c r="AL124" s="67">
        <f>+N124*tab!J$8</f>
        <v>0</v>
      </c>
      <c r="AM124" s="70"/>
      <c r="AN124" s="152">
        <v>0</v>
      </c>
      <c r="AO124" s="119">
        <f t="shared" si="37"/>
        <v>0</v>
      </c>
      <c r="AP124" s="119">
        <f t="shared" si="37"/>
        <v>0</v>
      </c>
      <c r="AQ124" s="119">
        <f t="shared" si="37"/>
        <v>0</v>
      </c>
      <c r="AR124" s="119">
        <f t="shared" si="37"/>
        <v>0</v>
      </c>
      <c r="AS124" s="119">
        <f t="shared" si="37"/>
        <v>0</v>
      </c>
      <c r="AT124" s="119">
        <f t="shared" si="37"/>
        <v>0</v>
      </c>
      <c r="AU124" s="91"/>
      <c r="AV124" s="133"/>
    </row>
    <row r="125" spans="2:48" s="112" customFormat="1" x14ac:dyDescent="0.2">
      <c r="B125" s="953"/>
      <c r="C125" s="149"/>
      <c r="D125" s="49">
        <v>111</v>
      </c>
      <c r="E125" s="150" t="s">
        <v>325</v>
      </c>
      <c r="F125" s="831" t="s">
        <v>274</v>
      </c>
      <c r="G125" s="967"/>
      <c r="H125" s="954">
        <v>0</v>
      </c>
      <c r="I125" s="118">
        <f t="shared" si="39"/>
        <v>0</v>
      </c>
      <c r="J125" s="118">
        <f t="shared" si="39"/>
        <v>0</v>
      </c>
      <c r="K125" s="118">
        <f t="shared" si="39"/>
        <v>0</v>
      </c>
      <c r="L125" s="118">
        <f t="shared" si="39"/>
        <v>0</v>
      </c>
      <c r="M125" s="118">
        <f t="shared" si="39"/>
        <v>0</v>
      </c>
      <c r="N125" s="118">
        <f t="shared" si="39"/>
        <v>0</v>
      </c>
      <c r="O125" s="70"/>
      <c r="P125" s="67">
        <f>H125*tab!E$7</f>
        <v>0</v>
      </c>
      <c r="Q125" s="67">
        <f>I125*tab!F$7</f>
        <v>0</v>
      </c>
      <c r="R125" s="67">
        <f>J125*tab!G$7</f>
        <v>0</v>
      </c>
      <c r="S125" s="67">
        <f>K125*tab!H$7</f>
        <v>0</v>
      </c>
      <c r="T125" s="67">
        <f>L125*tab!I$7</f>
        <v>0</v>
      </c>
      <c r="U125" s="67">
        <f>M125*tab!J$7</f>
        <v>0</v>
      </c>
      <c r="V125" s="67">
        <f>N125*tab!K$7</f>
        <v>0</v>
      </c>
      <c r="W125" s="70"/>
      <c r="X125" s="119">
        <v>0</v>
      </c>
      <c r="Y125" s="119">
        <f t="shared" si="38"/>
        <v>0</v>
      </c>
      <c r="Z125" s="119">
        <f t="shared" si="40"/>
        <v>0</v>
      </c>
      <c r="AA125" s="119">
        <f t="shared" si="40"/>
        <v>0</v>
      </c>
      <c r="AB125" s="119">
        <f t="shared" si="40"/>
        <v>0</v>
      </c>
      <c r="AC125" s="119">
        <f t="shared" si="40"/>
        <v>0</v>
      </c>
      <c r="AD125" s="119">
        <f t="shared" si="40"/>
        <v>0</v>
      </c>
      <c r="AE125" s="70"/>
      <c r="AF125" s="67">
        <f>+H125*tab!D$8</f>
        <v>0</v>
      </c>
      <c r="AG125" s="67">
        <f>+I125*tab!E$8</f>
        <v>0</v>
      </c>
      <c r="AH125" s="67">
        <f>+J125*tab!F$8</f>
        <v>0</v>
      </c>
      <c r="AI125" s="67">
        <f>+K125*tab!G$8</f>
        <v>0</v>
      </c>
      <c r="AJ125" s="67">
        <f>+L125*tab!H$8</f>
        <v>0</v>
      </c>
      <c r="AK125" s="67">
        <f>+M125*tab!I$8</f>
        <v>0</v>
      </c>
      <c r="AL125" s="67">
        <f>+N125*tab!J$8</f>
        <v>0</v>
      </c>
      <c r="AM125" s="70"/>
      <c r="AN125" s="152">
        <v>0</v>
      </c>
      <c r="AO125" s="119">
        <f t="shared" si="37"/>
        <v>0</v>
      </c>
      <c r="AP125" s="119">
        <f t="shared" si="37"/>
        <v>0</v>
      </c>
      <c r="AQ125" s="119">
        <f t="shared" si="37"/>
        <v>0</v>
      </c>
      <c r="AR125" s="119">
        <f t="shared" si="37"/>
        <v>0</v>
      </c>
      <c r="AS125" s="119">
        <f t="shared" si="37"/>
        <v>0</v>
      </c>
      <c r="AT125" s="119">
        <f t="shared" si="37"/>
        <v>0</v>
      </c>
      <c r="AU125" s="91"/>
      <c r="AV125" s="133"/>
    </row>
    <row r="126" spans="2:48" s="112" customFormat="1" x14ac:dyDescent="0.2">
      <c r="B126" s="953"/>
      <c r="C126" s="149"/>
      <c r="D126" s="49">
        <v>112</v>
      </c>
      <c r="E126" s="150" t="s">
        <v>326</v>
      </c>
      <c r="F126" s="831" t="s">
        <v>274</v>
      </c>
      <c r="G126" s="967"/>
      <c r="H126" s="954">
        <v>0</v>
      </c>
      <c r="I126" s="118">
        <f t="shared" si="39"/>
        <v>0</v>
      </c>
      <c r="J126" s="118">
        <f t="shared" si="39"/>
        <v>0</v>
      </c>
      <c r="K126" s="118">
        <f t="shared" si="39"/>
        <v>0</v>
      </c>
      <c r="L126" s="118">
        <f t="shared" si="39"/>
        <v>0</v>
      </c>
      <c r="M126" s="118">
        <f t="shared" si="39"/>
        <v>0</v>
      </c>
      <c r="N126" s="118">
        <f t="shared" si="39"/>
        <v>0</v>
      </c>
      <c r="O126" s="70"/>
      <c r="P126" s="67">
        <f>H126*tab!E$7</f>
        <v>0</v>
      </c>
      <c r="Q126" s="67">
        <f>I126*tab!F$7</f>
        <v>0</v>
      </c>
      <c r="R126" s="67">
        <f>J126*tab!G$7</f>
        <v>0</v>
      </c>
      <c r="S126" s="67">
        <f>K126*tab!H$7</f>
        <v>0</v>
      </c>
      <c r="T126" s="67">
        <f>L126*tab!I$7</f>
        <v>0</v>
      </c>
      <c r="U126" s="67">
        <f>M126*tab!J$7</f>
        <v>0</v>
      </c>
      <c r="V126" s="67">
        <f>N126*tab!K$7</f>
        <v>0</v>
      </c>
      <c r="W126" s="70"/>
      <c r="X126" s="119">
        <v>0</v>
      </c>
      <c r="Y126" s="119">
        <f t="shared" si="38"/>
        <v>0</v>
      </c>
      <c r="Z126" s="119">
        <f t="shared" si="40"/>
        <v>0</v>
      </c>
      <c r="AA126" s="119">
        <f t="shared" si="40"/>
        <v>0</v>
      </c>
      <c r="AB126" s="119">
        <f t="shared" si="40"/>
        <v>0</v>
      </c>
      <c r="AC126" s="119">
        <f t="shared" si="40"/>
        <v>0</v>
      </c>
      <c r="AD126" s="119">
        <f t="shared" si="40"/>
        <v>0</v>
      </c>
      <c r="AE126" s="70"/>
      <c r="AF126" s="67">
        <f>+H126*tab!D$8</f>
        <v>0</v>
      </c>
      <c r="AG126" s="67">
        <f>+I126*tab!E$8</f>
        <v>0</v>
      </c>
      <c r="AH126" s="67">
        <f>+J126*tab!F$8</f>
        <v>0</v>
      </c>
      <c r="AI126" s="67">
        <f>+K126*tab!G$8</f>
        <v>0</v>
      </c>
      <c r="AJ126" s="67">
        <f>+L126*tab!H$8</f>
        <v>0</v>
      </c>
      <c r="AK126" s="67">
        <f>+M126*tab!I$8</f>
        <v>0</v>
      </c>
      <c r="AL126" s="67">
        <f>+N126*tab!J$8</f>
        <v>0</v>
      </c>
      <c r="AM126" s="70"/>
      <c r="AN126" s="152">
        <v>0</v>
      </c>
      <c r="AO126" s="119">
        <f t="shared" si="37"/>
        <v>0</v>
      </c>
      <c r="AP126" s="119">
        <f t="shared" si="37"/>
        <v>0</v>
      </c>
      <c r="AQ126" s="119">
        <f t="shared" si="37"/>
        <v>0</v>
      </c>
      <c r="AR126" s="119">
        <f t="shared" si="37"/>
        <v>0</v>
      </c>
      <c r="AS126" s="119">
        <f t="shared" si="37"/>
        <v>0</v>
      </c>
      <c r="AT126" s="119">
        <f t="shared" si="37"/>
        <v>0</v>
      </c>
      <c r="AU126" s="91"/>
      <c r="AV126" s="133"/>
    </row>
    <row r="127" spans="2:48" s="112" customFormat="1" x14ac:dyDescent="0.2">
      <c r="B127" s="953"/>
      <c r="C127" s="149"/>
      <c r="D127" s="49">
        <v>113</v>
      </c>
      <c r="E127" s="150" t="s">
        <v>327</v>
      </c>
      <c r="F127" s="831" t="s">
        <v>274</v>
      </c>
      <c r="G127" s="967"/>
      <c r="H127" s="954">
        <v>0</v>
      </c>
      <c r="I127" s="118">
        <f t="shared" si="39"/>
        <v>0</v>
      </c>
      <c r="J127" s="118">
        <f t="shared" si="39"/>
        <v>0</v>
      </c>
      <c r="K127" s="118">
        <f t="shared" si="39"/>
        <v>0</v>
      </c>
      <c r="L127" s="118">
        <f t="shared" si="39"/>
        <v>0</v>
      </c>
      <c r="M127" s="118">
        <f t="shared" si="39"/>
        <v>0</v>
      </c>
      <c r="N127" s="118">
        <f t="shared" si="39"/>
        <v>0</v>
      </c>
      <c r="O127" s="70"/>
      <c r="P127" s="67">
        <f>H127*tab!E$7</f>
        <v>0</v>
      </c>
      <c r="Q127" s="67">
        <f>I127*tab!F$7</f>
        <v>0</v>
      </c>
      <c r="R127" s="67">
        <f>J127*tab!G$7</f>
        <v>0</v>
      </c>
      <c r="S127" s="67">
        <f>K127*tab!H$7</f>
        <v>0</v>
      </c>
      <c r="T127" s="67">
        <f>L127*tab!I$7</f>
        <v>0</v>
      </c>
      <c r="U127" s="67">
        <f>M127*tab!J$7</f>
        <v>0</v>
      </c>
      <c r="V127" s="67">
        <f>N127*tab!K$7</f>
        <v>0</v>
      </c>
      <c r="W127" s="70"/>
      <c r="X127" s="119">
        <v>0</v>
      </c>
      <c r="Y127" s="119">
        <f t="shared" si="38"/>
        <v>0</v>
      </c>
      <c r="Z127" s="119">
        <f t="shared" si="40"/>
        <v>0</v>
      </c>
      <c r="AA127" s="119">
        <f t="shared" si="40"/>
        <v>0</v>
      </c>
      <c r="AB127" s="119">
        <f t="shared" si="40"/>
        <v>0</v>
      </c>
      <c r="AC127" s="119">
        <f t="shared" si="40"/>
        <v>0</v>
      </c>
      <c r="AD127" s="119">
        <f t="shared" si="40"/>
        <v>0</v>
      </c>
      <c r="AE127" s="70"/>
      <c r="AF127" s="67">
        <f>+H127*tab!D$8</f>
        <v>0</v>
      </c>
      <c r="AG127" s="67">
        <f>+I127*tab!E$8</f>
        <v>0</v>
      </c>
      <c r="AH127" s="67">
        <f>+J127*tab!F$8</f>
        <v>0</v>
      </c>
      <c r="AI127" s="67">
        <f>+K127*tab!G$8</f>
        <v>0</v>
      </c>
      <c r="AJ127" s="67">
        <f>+L127*tab!H$8</f>
        <v>0</v>
      </c>
      <c r="AK127" s="67">
        <f>+M127*tab!I$8</f>
        <v>0</v>
      </c>
      <c r="AL127" s="67">
        <f>+N127*tab!J$8</f>
        <v>0</v>
      </c>
      <c r="AM127" s="70"/>
      <c r="AN127" s="152">
        <v>0</v>
      </c>
      <c r="AO127" s="119">
        <f t="shared" si="37"/>
        <v>0</v>
      </c>
      <c r="AP127" s="119">
        <f t="shared" si="37"/>
        <v>0</v>
      </c>
      <c r="AQ127" s="119">
        <f t="shared" si="37"/>
        <v>0</v>
      </c>
      <c r="AR127" s="119">
        <f t="shared" si="37"/>
        <v>0</v>
      </c>
      <c r="AS127" s="119">
        <f t="shared" si="37"/>
        <v>0</v>
      </c>
      <c r="AT127" s="119">
        <f t="shared" si="37"/>
        <v>0</v>
      </c>
      <c r="AU127" s="91"/>
      <c r="AV127" s="133"/>
    </row>
    <row r="128" spans="2:48" s="112" customFormat="1" x14ac:dyDescent="0.2">
      <c r="B128" s="953"/>
      <c r="C128" s="149"/>
      <c r="D128" s="49">
        <v>114</v>
      </c>
      <c r="E128" s="150" t="s">
        <v>328</v>
      </c>
      <c r="F128" s="831" t="s">
        <v>274</v>
      </c>
      <c r="G128" s="967"/>
      <c r="H128" s="954">
        <v>0</v>
      </c>
      <c r="I128" s="118">
        <f t="shared" si="39"/>
        <v>0</v>
      </c>
      <c r="J128" s="118">
        <f t="shared" si="39"/>
        <v>0</v>
      </c>
      <c r="K128" s="118">
        <f t="shared" si="39"/>
        <v>0</v>
      </c>
      <c r="L128" s="118">
        <f t="shared" si="39"/>
        <v>0</v>
      </c>
      <c r="M128" s="118">
        <f t="shared" si="39"/>
        <v>0</v>
      </c>
      <c r="N128" s="118">
        <f t="shared" si="39"/>
        <v>0</v>
      </c>
      <c r="O128" s="70"/>
      <c r="P128" s="67">
        <f>H128*tab!E$7</f>
        <v>0</v>
      </c>
      <c r="Q128" s="67">
        <f>I128*tab!F$7</f>
        <v>0</v>
      </c>
      <c r="R128" s="67">
        <f>J128*tab!G$7</f>
        <v>0</v>
      </c>
      <c r="S128" s="67">
        <f>K128*tab!H$7</f>
        <v>0</v>
      </c>
      <c r="T128" s="67">
        <f>L128*tab!I$7</f>
        <v>0</v>
      </c>
      <c r="U128" s="67">
        <f>M128*tab!J$7</f>
        <v>0</v>
      </c>
      <c r="V128" s="67">
        <f>N128*tab!K$7</f>
        <v>0</v>
      </c>
      <c r="W128" s="70"/>
      <c r="X128" s="119">
        <v>0</v>
      </c>
      <c r="Y128" s="119">
        <f t="shared" si="38"/>
        <v>0</v>
      </c>
      <c r="Z128" s="119">
        <f t="shared" si="40"/>
        <v>0</v>
      </c>
      <c r="AA128" s="119">
        <f t="shared" si="40"/>
        <v>0</v>
      </c>
      <c r="AB128" s="119">
        <f t="shared" si="40"/>
        <v>0</v>
      </c>
      <c r="AC128" s="119">
        <f t="shared" si="40"/>
        <v>0</v>
      </c>
      <c r="AD128" s="119">
        <f t="shared" si="40"/>
        <v>0</v>
      </c>
      <c r="AE128" s="70"/>
      <c r="AF128" s="67">
        <f>+H128*tab!D$8</f>
        <v>0</v>
      </c>
      <c r="AG128" s="67">
        <f>+I128*tab!E$8</f>
        <v>0</v>
      </c>
      <c r="AH128" s="67">
        <f>+J128*tab!F$8</f>
        <v>0</v>
      </c>
      <c r="AI128" s="67">
        <f>+K128*tab!G$8</f>
        <v>0</v>
      </c>
      <c r="AJ128" s="67">
        <f>+L128*tab!H$8</f>
        <v>0</v>
      </c>
      <c r="AK128" s="67">
        <f>+M128*tab!I$8</f>
        <v>0</v>
      </c>
      <c r="AL128" s="67">
        <f>+N128*tab!J$8</f>
        <v>0</v>
      </c>
      <c r="AM128" s="70"/>
      <c r="AN128" s="152">
        <v>0</v>
      </c>
      <c r="AO128" s="119">
        <f t="shared" ref="AO128:AT139" si="41">AN128</f>
        <v>0</v>
      </c>
      <c r="AP128" s="119">
        <f t="shared" si="41"/>
        <v>0</v>
      </c>
      <c r="AQ128" s="119">
        <f t="shared" si="41"/>
        <v>0</v>
      </c>
      <c r="AR128" s="119">
        <f t="shared" si="41"/>
        <v>0</v>
      </c>
      <c r="AS128" s="119">
        <f t="shared" si="41"/>
        <v>0</v>
      </c>
      <c r="AT128" s="119">
        <f t="shared" si="41"/>
        <v>0</v>
      </c>
      <c r="AU128" s="91"/>
      <c r="AV128" s="133"/>
    </row>
    <row r="129" spans="2:48" s="112" customFormat="1" x14ac:dyDescent="0.2">
      <c r="B129" s="953"/>
      <c r="C129" s="149"/>
      <c r="D129" s="49">
        <v>115</v>
      </c>
      <c r="E129" s="150" t="s">
        <v>329</v>
      </c>
      <c r="F129" s="831" t="s">
        <v>274</v>
      </c>
      <c r="G129" s="967"/>
      <c r="H129" s="954">
        <v>0</v>
      </c>
      <c r="I129" s="118">
        <f t="shared" si="39"/>
        <v>0</v>
      </c>
      <c r="J129" s="118">
        <f t="shared" si="39"/>
        <v>0</v>
      </c>
      <c r="K129" s="118">
        <f t="shared" si="39"/>
        <v>0</v>
      </c>
      <c r="L129" s="118">
        <f t="shared" si="39"/>
        <v>0</v>
      </c>
      <c r="M129" s="118">
        <f t="shared" si="39"/>
        <v>0</v>
      </c>
      <c r="N129" s="118">
        <f t="shared" si="39"/>
        <v>0</v>
      </c>
      <c r="O129" s="70"/>
      <c r="P129" s="67">
        <f>H129*tab!E$7</f>
        <v>0</v>
      </c>
      <c r="Q129" s="67">
        <f>I129*tab!F$7</f>
        <v>0</v>
      </c>
      <c r="R129" s="67">
        <f>J129*tab!G$7</f>
        <v>0</v>
      </c>
      <c r="S129" s="67">
        <f>K129*tab!H$7</f>
        <v>0</v>
      </c>
      <c r="T129" s="67">
        <f>L129*tab!I$7</f>
        <v>0</v>
      </c>
      <c r="U129" s="67">
        <f>M129*tab!J$7</f>
        <v>0</v>
      </c>
      <c r="V129" s="67">
        <f>N129*tab!K$7</f>
        <v>0</v>
      </c>
      <c r="W129" s="70"/>
      <c r="X129" s="119">
        <v>0</v>
      </c>
      <c r="Y129" s="119">
        <f t="shared" si="38"/>
        <v>0</v>
      </c>
      <c r="Z129" s="119">
        <f t="shared" si="40"/>
        <v>0</v>
      </c>
      <c r="AA129" s="119">
        <f t="shared" si="40"/>
        <v>0</v>
      </c>
      <c r="AB129" s="119">
        <f t="shared" si="40"/>
        <v>0</v>
      </c>
      <c r="AC129" s="119">
        <f t="shared" si="40"/>
        <v>0</v>
      </c>
      <c r="AD129" s="119">
        <f t="shared" si="40"/>
        <v>0</v>
      </c>
      <c r="AE129" s="70"/>
      <c r="AF129" s="67">
        <f>+H129*tab!D$8</f>
        <v>0</v>
      </c>
      <c r="AG129" s="67">
        <f>+I129*tab!E$8</f>
        <v>0</v>
      </c>
      <c r="AH129" s="67">
        <f>+J129*tab!F$8</f>
        <v>0</v>
      </c>
      <c r="AI129" s="67">
        <f>+K129*tab!G$8</f>
        <v>0</v>
      </c>
      <c r="AJ129" s="67">
        <f>+L129*tab!H$8</f>
        <v>0</v>
      </c>
      <c r="AK129" s="67">
        <f>+M129*tab!I$8</f>
        <v>0</v>
      </c>
      <c r="AL129" s="67">
        <f>+N129*tab!J$8</f>
        <v>0</v>
      </c>
      <c r="AM129" s="70"/>
      <c r="AN129" s="152">
        <v>0</v>
      </c>
      <c r="AO129" s="119">
        <f t="shared" si="41"/>
        <v>0</v>
      </c>
      <c r="AP129" s="119">
        <f t="shared" si="41"/>
        <v>0</v>
      </c>
      <c r="AQ129" s="119">
        <f t="shared" si="41"/>
        <v>0</v>
      </c>
      <c r="AR129" s="119">
        <f t="shared" si="41"/>
        <v>0</v>
      </c>
      <c r="AS129" s="119">
        <f t="shared" si="41"/>
        <v>0</v>
      </c>
      <c r="AT129" s="119">
        <f t="shared" si="41"/>
        <v>0</v>
      </c>
      <c r="AU129" s="91"/>
      <c r="AV129" s="133"/>
    </row>
    <row r="130" spans="2:48" s="112" customFormat="1" x14ac:dyDescent="0.2">
      <c r="B130" s="953"/>
      <c r="C130" s="149"/>
      <c r="D130" s="49">
        <v>116</v>
      </c>
      <c r="E130" s="150" t="s">
        <v>330</v>
      </c>
      <c r="F130" s="831" t="s">
        <v>274</v>
      </c>
      <c r="G130" s="967"/>
      <c r="H130" s="954">
        <v>0</v>
      </c>
      <c r="I130" s="118">
        <f t="shared" si="39"/>
        <v>0</v>
      </c>
      <c r="J130" s="118">
        <f t="shared" si="39"/>
        <v>0</v>
      </c>
      <c r="K130" s="118">
        <f t="shared" si="39"/>
        <v>0</v>
      </c>
      <c r="L130" s="118">
        <f t="shared" si="39"/>
        <v>0</v>
      </c>
      <c r="M130" s="118">
        <f t="shared" si="39"/>
        <v>0</v>
      </c>
      <c r="N130" s="118">
        <f t="shared" si="39"/>
        <v>0</v>
      </c>
      <c r="O130" s="70"/>
      <c r="P130" s="67">
        <f>H130*tab!E$7</f>
        <v>0</v>
      </c>
      <c r="Q130" s="67">
        <f>I130*tab!F$7</f>
        <v>0</v>
      </c>
      <c r="R130" s="67">
        <f>J130*tab!G$7</f>
        <v>0</v>
      </c>
      <c r="S130" s="67">
        <f>K130*tab!H$7</f>
        <v>0</v>
      </c>
      <c r="T130" s="67">
        <f>L130*tab!I$7</f>
        <v>0</v>
      </c>
      <c r="U130" s="67">
        <f>M130*tab!J$7</f>
        <v>0</v>
      </c>
      <c r="V130" s="67">
        <f>N130*tab!K$7</f>
        <v>0</v>
      </c>
      <c r="W130" s="70"/>
      <c r="X130" s="119">
        <v>0</v>
      </c>
      <c r="Y130" s="119">
        <f t="shared" si="38"/>
        <v>0</v>
      </c>
      <c r="Z130" s="119">
        <f t="shared" si="40"/>
        <v>0</v>
      </c>
      <c r="AA130" s="119">
        <f t="shared" si="40"/>
        <v>0</v>
      </c>
      <c r="AB130" s="119">
        <f t="shared" si="40"/>
        <v>0</v>
      </c>
      <c r="AC130" s="119">
        <f t="shared" si="40"/>
        <v>0</v>
      </c>
      <c r="AD130" s="119">
        <f t="shared" si="40"/>
        <v>0</v>
      </c>
      <c r="AE130" s="70"/>
      <c r="AF130" s="67">
        <f>+H130*tab!D$8</f>
        <v>0</v>
      </c>
      <c r="AG130" s="67">
        <f>+I130*tab!E$8</f>
        <v>0</v>
      </c>
      <c r="AH130" s="67">
        <f>+J130*tab!F$8</f>
        <v>0</v>
      </c>
      <c r="AI130" s="67">
        <f>+K130*tab!G$8</f>
        <v>0</v>
      </c>
      <c r="AJ130" s="67">
        <f>+L130*tab!H$8</f>
        <v>0</v>
      </c>
      <c r="AK130" s="67">
        <f>+M130*tab!I$8</f>
        <v>0</v>
      </c>
      <c r="AL130" s="67">
        <f>+N130*tab!J$8</f>
        <v>0</v>
      </c>
      <c r="AM130" s="70"/>
      <c r="AN130" s="152">
        <v>0</v>
      </c>
      <c r="AO130" s="119">
        <f t="shared" si="41"/>
        <v>0</v>
      </c>
      <c r="AP130" s="119">
        <f t="shared" si="41"/>
        <v>0</v>
      </c>
      <c r="AQ130" s="119">
        <f t="shared" si="41"/>
        <v>0</v>
      </c>
      <c r="AR130" s="119">
        <f t="shared" si="41"/>
        <v>0</v>
      </c>
      <c r="AS130" s="119">
        <f t="shared" si="41"/>
        <v>0</v>
      </c>
      <c r="AT130" s="119">
        <f t="shared" si="41"/>
        <v>0</v>
      </c>
      <c r="AU130" s="91"/>
      <c r="AV130" s="133"/>
    </row>
    <row r="131" spans="2:48" s="112" customFormat="1" x14ac:dyDescent="0.2">
      <c r="B131" s="953"/>
      <c r="C131" s="149"/>
      <c r="D131" s="49">
        <v>117</v>
      </c>
      <c r="E131" s="150" t="s">
        <v>331</v>
      </c>
      <c r="F131" s="831" t="s">
        <v>274</v>
      </c>
      <c r="G131" s="967"/>
      <c r="H131" s="954">
        <v>0</v>
      </c>
      <c r="I131" s="118">
        <f t="shared" si="39"/>
        <v>0</v>
      </c>
      <c r="J131" s="118">
        <f t="shared" si="39"/>
        <v>0</v>
      </c>
      <c r="K131" s="118">
        <f t="shared" si="39"/>
        <v>0</v>
      </c>
      <c r="L131" s="118">
        <f t="shared" si="39"/>
        <v>0</v>
      </c>
      <c r="M131" s="118">
        <f t="shared" si="39"/>
        <v>0</v>
      </c>
      <c r="N131" s="118">
        <f t="shared" si="39"/>
        <v>0</v>
      </c>
      <c r="O131" s="70"/>
      <c r="P131" s="67">
        <f>H131*tab!E$7</f>
        <v>0</v>
      </c>
      <c r="Q131" s="67">
        <f>I131*tab!F$7</f>
        <v>0</v>
      </c>
      <c r="R131" s="67">
        <f>J131*tab!G$7</f>
        <v>0</v>
      </c>
      <c r="S131" s="67">
        <f>K131*tab!H$7</f>
        <v>0</v>
      </c>
      <c r="T131" s="67">
        <f>L131*tab!I$7</f>
        <v>0</v>
      </c>
      <c r="U131" s="67">
        <f>M131*tab!J$7</f>
        <v>0</v>
      </c>
      <c r="V131" s="67">
        <f>N131*tab!K$7</f>
        <v>0</v>
      </c>
      <c r="W131" s="70"/>
      <c r="X131" s="119">
        <v>0</v>
      </c>
      <c r="Y131" s="119">
        <f t="shared" si="38"/>
        <v>0</v>
      </c>
      <c r="Z131" s="119">
        <f t="shared" si="40"/>
        <v>0</v>
      </c>
      <c r="AA131" s="119">
        <f t="shared" si="40"/>
        <v>0</v>
      </c>
      <c r="AB131" s="119">
        <f t="shared" si="40"/>
        <v>0</v>
      </c>
      <c r="AC131" s="119">
        <f t="shared" si="40"/>
        <v>0</v>
      </c>
      <c r="AD131" s="119">
        <f t="shared" si="40"/>
        <v>0</v>
      </c>
      <c r="AE131" s="70"/>
      <c r="AF131" s="67">
        <f>+H131*tab!D$8</f>
        <v>0</v>
      </c>
      <c r="AG131" s="67">
        <f>+I131*tab!E$8</f>
        <v>0</v>
      </c>
      <c r="AH131" s="67">
        <f>+J131*tab!F$8</f>
        <v>0</v>
      </c>
      <c r="AI131" s="67">
        <f>+K131*tab!G$8</f>
        <v>0</v>
      </c>
      <c r="AJ131" s="67">
        <f>+L131*tab!H$8</f>
        <v>0</v>
      </c>
      <c r="AK131" s="67">
        <f>+M131*tab!I$8</f>
        <v>0</v>
      </c>
      <c r="AL131" s="67">
        <f>+N131*tab!J$8</f>
        <v>0</v>
      </c>
      <c r="AM131" s="70"/>
      <c r="AN131" s="152">
        <v>0</v>
      </c>
      <c r="AO131" s="119">
        <f t="shared" si="41"/>
        <v>0</v>
      </c>
      <c r="AP131" s="119">
        <f t="shared" si="41"/>
        <v>0</v>
      </c>
      <c r="AQ131" s="119">
        <f t="shared" si="41"/>
        <v>0</v>
      </c>
      <c r="AR131" s="119">
        <f t="shared" si="41"/>
        <v>0</v>
      </c>
      <c r="AS131" s="119">
        <f t="shared" si="41"/>
        <v>0</v>
      </c>
      <c r="AT131" s="119">
        <f t="shared" si="41"/>
        <v>0</v>
      </c>
      <c r="AU131" s="91"/>
      <c r="AV131" s="133"/>
    </row>
    <row r="132" spans="2:48" s="112" customFormat="1" x14ac:dyDescent="0.2">
      <c r="B132" s="953"/>
      <c r="C132" s="149"/>
      <c r="D132" s="49">
        <v>118</v>
      </c>
      <c r="E132" s="150" t="s">
        <v>332</v>
      </c>
      <c r="F132" s="831" t="s">
        <v>274</v>
      </c>
      <c r="G132" s="967"/>
      <c r="H132" s="954">
        <v>0</v>
      </c>
      <c r="I132" s="118">
        <f t="shared" si="39"/>
        <v>0</v>
      </c>
      <c r="J132" s="118">
        <f t="shared" si="39"/>
        <v>0</v>
      </c>
      <c r="K132" s="118">
        <f t="shared" si="39"/>
        <v>0</v>
      </c>
      <c r="L132" s="118">
        <f t="shared" si="39"/>
        <v>0</v>
      </c>
      <c r="M132" s="118">
        <f t="shared" si="39"/>
        <v>0</v>
      </c>
      <c r="N132" s="118">
        <f t="shared" si="39"/>
        <v>0</v>
      </c>
      <c r="O132" s="70"/>
      <c r="P132" s="67">
        <f>H132*tab!E$7</f>
        <v>0</v>
      </c>
      <c r="Q132" s="67">
        <f>I132*tab!F$7</f>
        <v>0</v>
      </c>
      <c r="R132" s="67">
        <f>J132*tab!G$7</f>
        <v>0</v>
      </c>
      <c r="S132" s="67">
        <f>K132*tab!H$7</f>
        <v>0</v>
      </c>
      <c r="T132" s="67">
        <f>L132*tab!I$7</f>
        <v>0</v>
      </c>
      <c r="U132" s="67">
        <f>M132*tab!J$7</f>
        <v>0</v>
      </c>
      <c r="V132" s="67">
        <f>N132*tab!K$7</f>
        <v>0</v>
      </c>
      <c r="W132" s="70"/>
      <c r="X132" s="119">
        <v>0</v>
      </c>
      <c r="Y132" s="119">
        <f t="shared" si="38"/>
        <v>0</v>
      </c>
      <c r="Z132" s="119">
        <f t="shared" si="40"/>
        <v>0</v>
      </c>
      <c r="AA132" s="119">
        <f t="shared" si="40"/>
        <v>0</v>
      </c>
      <c r="AB132" s="119">
        <f t="shared" si="40"/>
        <v>0</v>
      </c>
      <c r="AC132" s="119">
        <f t="shared" si="40"/>
        <v>0</v>
      </c>
      <c r="AD132" s="119">
        <f t="shared" si="40"/>
        <v>0</v>
      </c>
      <c r="AE132" s="70"/>
      <c r="AF132" s="67">
        <f>+H132*tab!D$8</f>
        <v>0</v>
      </c>
      <c r="AG132" s="67">
        <f>+I132*tab!E$8</f>
        <v>0</v>
      </c>
      <c r="AH132" s="67">
        <f>+J132*tab!F$8</f>
        <v>0</v>
      </c>
      <c r="AI132" s="67">
        <f>+K132*tab!G$8</f>
        <v>0</v>
      </c>
      <c r="AJ132" s="67">
        <f>+L132*tab!H$8</f>
        <v>0</v>
      </c>
      <c r="AK132" s="67">
        <f>+M132*tab!I$8</f>
        <v>0</v>
      </c>
      <c r="AL132" s="67">
        <f>+N132*tab!J$8</f>
        <v>0</v>
      </c>
      <c r="AM132" s="70"/>
      <c r="AN132" s="152">
        <v>0</v>
      </c>
      <c r="AO132" s="119">
        <f t="shared" si="41"/>
        <v>0</v>
      </c>
      <c r="AP132" s="119">
        <f t="shared" si="41"/>
        <v>0</v>
      </c>
      <c r="AQ132" s="119">
        <f t="shared" si="41"/>
        <v>0</v>
      </c>
      <c r="AR132" s="119">
        <f t="shared" si="41"/>
        <v>0</v>
      </c>
      <c r="AS132" s="119">
        <f t="shared" si="41"/>
        <v>0</v>
      </c>
      <c r="AT132" s="119">
        <f t="shared" si="41"/>
        <v>0</v>
      </c>
      <c r="AU132" s="91"/>
      <c r="AV132" s="133"/>
    </row>
    <row r="133" spans="2:48" s="112" customFormat="1" x14ac:dyDescent="0.2">
      <c r="B133" s="953"/>
      <c r="C133" s="149"/>
      <c r="D133" s="49">
        <v>119</v>
      </c>
      <c r="E133" s="150" t="s">
        <v>333</v>
      </c>
      <c r="F133" s="831" t="s">
        <v>274</v>
      </c>
      <c r="G133" s="967"/>
      <c r="H133" s="954">
        <v>0</v>
      </c>
      <c r="I133" s="118">
        <f t="shared" si="39"/>
        <v>0</v>
      </c>
      <c r="J133" s="118">
        <f t="shared" si="39"/>
        <v>0</v>
      </c>
      <c r="K133" s="118">
        <f t="shared" si="39"/>
        <v>0</v>
      </c>
      <c r="L133" s="118">
        <f t="shared" si="39"/>
        <v>0</v>
      </c>
      <c r="M133" s="118">
        <f t="shared" si="39"/>
        <v>0</v>
      </c>
      <c r="N133" s="118">
        <f t="shared" si="39"/>
        <v>0</v>
      </c>
      <c r="O133" s="70"/>
      <c r="P133" s="67">
        <f>H133*tab!E$7</f>
        <v>0</v>
      </c>
      <c r="Q133" s="67">
        <f>I133*tab!F$7</f>
        <v>0</v>
      </c>
      <c r="R133" s="67">
        <f>J133*tab!G$7</f>
        <v>0</v>
      </c>
      <c r="S133" s="67">
        <f>K133*tab!H$7</f>
        <v>0</v>
      </c>
      <c r="T133" s="67">
        <f>L133*tab!I$7</f>
        <v>0</v>
      </c>
      <c r="U133" s="67">
        <f>M133*tab!J$7</f>
        <v>0</v>
      </c>
      <c r="V133" s="67">
        <f>N133*tab!K$7</f>
        <v>0</v>
      </c>
      <c r="W133" s="70"/>
      <c r="X133" s="119">
        <v>0</v>
      </c>
      <c r="Y133" s="119">
        <f t="shared" si="38"/>
        <v>0</v>
      </c>
      <c r="Z133" s="119">
        <f t="shared" si="40"/>
        <v>0</v>
      </c>
      <c r="AA133" s="119">
        <f t="shared" si="40"/>
        <v>0</v>
      </c>
      <c r="AB133" s="119">
        <f t="shared" si="40"/>
        <v>0</v>
      </c>
      <c r="AC133" s="119">
        <f t="shared" si="40"/>
        <v>0</v>
      </c>
      <c r="AD133" s="119">
        <f t="shared" si="40"/>
        <v>0</v>
      </c>
      <c r="AE133" s="70"/>
      <c r="AF133" s="67">
        <f>+H133*tab!D$8</f>
        <v>0</v>
      </c>
      <c r="AG133" s="67">
        <f>+I133*tab!E$8</f>
        <v>0</v>
      </c>
      <c r="AH133" s="67">
        <f>+J133*tab!F$8</f>
        <v>0</v>
      </c>
      <c r="AI133" s="67">
        <f>+K133*tab!G$8</f>
        <v>0</v>
      </c>
      <c r="AJ133" s="67">
        <f>+L133*tab!H$8</f>
        <v>0</v>
      </c>
      <c r="AK133" s="67">
        <f>+M133*tab!I$8</f>
        <v>0</v>
      </c>
      <c r="AL133" s="67">
        <f>+N133*tab!J$8</f>
        <v>0</v>
      </c>
      <c r="AM133" s="70"/>
      <c r="AN133" s="152">
        <v>0</v>
      </c>
      <c r="AO133" s="119">
        <f t="shared" si="41"/>
        <v>0</v>
      </c>
      <c r="AP133" s="119">
        <f t="shared" si="41"/>
        <v>0</v>
      </c>
      <c r="AQ133" s="119">
        <f t="shared" si="41"/>
        <v>0</v>
      </c>
      <c r="AR133" s="119">
        <f t="shared" si="41"/>
        <v>0</v>
      </c>
      <c r="AS133" s="119">
        <f t="shared" si="41"/>
        <v>0</v>
      </c>
      <c r="AT133" s="119">
        <f t="shared" si="41"/>
        <v>0</v>
      </c>
      <c r="AU133" s="91"/>
      <c r="AV133" s="133"/>
    </row>
    <row r="134" spans="2:48" s="112" customFormat="1" x14ac:dyDescent="0.2">
      <c r="B134" s="953"/>
      <c r="C134" s="149"/>
      <c r="D134" s="49">
        <v>120</v>
      </c>
      <c r="E134" s="150" t="s">
        <v>334</v>
      </c>
      <c r="F134" s="831" t="s">
        <v>274</v>
      </c>
      <c r="G134" s="967"/>
      <c r="H134" s="954">
        <v>0</v>
      </c>
      <c r="I134" s="118">
        <f t="shared" si="39"/>
        <v>0</v>
      </c>
      <c r="J134" s="118">
        <f t="shared" si="39"/>
        <v>0</v>
      </c>
      <c r="K134" s="118">
        <f t="shared" si="39"/>
        <v>0</v>
      </c>
      <c r="L134" s="118">
        <f t="shared" si="39"/>
        <v>0</v>
      </c>
      <c r="M134" s="118">
        <f t="shared" si="39"/>
        <v>0</v>
      </c>
      <c r="N134" s="118">
        <f t="shared" si="39"/>
        <v>0</v>
      </c>
      <c r="O134" s="70"/>
      <c r="P134" s="67">
        <f>H134*tab!E$7</f>
        <v>0</v>
      </c>
      <c r="Q134" s="67">
        <f>I134*tab!F$7</f>
        <v>0</v>
      </c>
      <c r="R134" s="67">
        <f>J134*tab!G$7</f>
        <v>0</v>
      </c>
      <c r="S134" s="67">
        <f>K134*tab!H$7</f>
        <v>0</v>
      </c>
      <c r="T134" s="67">
        <f>L134*tab!I$7</f>
        <v>0</v>
      </c>
      <c r="U134" s="67">
        <f>M134*tab!J$7</f>
        <v>0</v>
      </c>
      <c r="V134" s="67">
        <f>N134*tab!K$7</f>
        <v>0</v>
      </c>
      <c r="W134" s="70"/>
      <c r="X134" s="119">
        <v>0</v>
      </c>
      <c r="Y134" s="119">
        <f t="shared" si="38"/>
        <v>0</v>
      </c>
      <c r="Z134" s="119">
        <f t="shared" si="40"/>
        <v>0</v>
      </c>
      <c r="AA134" s="119">
        <f t="shared" si="40"/>
        <v>0</v>
      </c>
      <c r="AB134" s="119">
        <f t="shared" si="40"/>
        <v>0</v>
      </c>
      <c r="AC134" s="119">
        <f t="shared" si="40"/>
        <v>0</v>
      </c>
      <c r="AD134" s="119">
        <f t="shared" si="40"/>
        <v>0</v>
      </c>
      <c r="AE134" s="70"/>
      <c r="AF134" s="67">
        <f>+H134*tab!D$8</f>
        <v>0</v>
      </c>
      <c r="AG134" s="67">
        <f>+I134*tab!E$8</f>
        <v>0</v>
      </c>
      <c r="AH134" s="67">
        <f>+J134*tab!F$8</f>
        <v>0</v>
      </c>
      <c r="AI134" s="67">
        <f>+K134*tab!G$8</f>
        <v>0</v>
      </c>
      <c r="AJ134" s="67">
        <f>+L134*tab!H$8</f>
        <v>0</v>
      </c>
      <c r="AK134" s="67">
        <f>+M134*tab!I$8</f>
        <v>0</v>
      </c>
      <c r="AL134" s="67">
        <f>+N134*tab!J$8</f>
        <v>0</v>
      </c>
      <c r="AM134" s="70"/>
      <c r="AN134" s="152">
        <v>0</v>
      </c>
      <c r="AO134" s="119">
        <f t="shared" si="41"/>
        <v>0</v>
      </c>
      <c r="AP134" s="119">
        <f t="shared" si="41"/>
        <v>0</v>
      </c>
      <c r="AQ134" s="119">
        <f t="shared" si="41"/>
        <v>0</v>
      </c>
      <c r="AR134" s="119">
        <f t="shared" si="41"/>
        <v>0</v>
      </c>
      <c r="AS134" s="119">
        <f t="shared" si="41"/>
        <v>0</v>
      </c>
      <c r="AT134" s="119">
        <f t="shared" si="41"/>
        <v>0</v>
      </c>
      <c r="AU134" s="91"/>
      <c r="AV134" s="133"/>
    </row>
    <row r="135" spans="2:48" s="112" customFormat="1" x14ac:dyDescent="0.2">
      <c r="B135" s="953"/>
      <c r="C135" s="149"/>
      <c r="D135" s="49">
        <v>121</v>
      </c>
      <c r="E135" s="150" t="s">
        <v>335</v>
      </c>
      <c r="F135" s="831" t="s">
        <v>274</v>
      </c>
      <c r="G135" s="967"/>
      <c r="H135" s="954">
        <v>0</v>
      </c>
      <c r="I135" s="118">
        <f t="shared" si="39"/>
        <v>0</v>
      </c>
      <c r="J135" s="118">
        <f t="shared" si="39"/>
        <v>0</v>
      </c>
      <c r="K135" s="118">
        <f t="shared" si="39"/>
        <v>0</v>
      </c>
      <c r="L135" s="118">
        <f t="shared" si="39"/>
        <v>0</v>
      </c>
      <c r="M135" s="118">
        <f t="shared" si="39"/>
        <v>0</v>
      </c>
      <c r="N135" s="118">
        <f t="shared" si="39"/>
        <v>0</v>
      </c>
      <c r="O135" s="70"/>
      <c r="P135" s="67">
        <f>H135*tab!E$7</f>
        <v>0</v>
      </c>
      <c r="Q135" s="67">
        <f>I135*tab!F$7</f>
        <v>0</v>
      </c>
      <c r="R135" s="67">
        <f>J135*tab!G$7</f>
        <v>0</v>
      </c>
      <c r="S135" s="67">
        <f>K135*tab!H$7</f>
        <v>0</v>
      </c>
      <c r="T135" s="67">
        <f>L135*tab!I$7</f>
        <v>0</v>
      </c>
      <c r="U135" s="67">
        <f>M135*tab!J$7</f>
        <v>0</v>
      </c>
      <c r="V135" s="67">
        <f>N135*tab!K$7</f>
        <v>0</v>
      </c>
      <c r="W135" s="70"/>
      <c r="X135" s="119">
        <v>0</v>
      </c>
      <c r="Y135" s="119">
        <f t="shared" si="38"/>
        <v>0</v>
      </c>
      <c r="Z135" s="119">
        <f t="shared" si="40"/>
        <v>0</v>
      </c>
      <c r="AA135" s="119">
        <f t="shared" si="40"/>
        <v>0</v>
      </c>
      <c r="AB135" s="119">
        <f t="shared" si="40"/>
        <v>0</v>
      </c>
      <c r="AC135" s="119">
        <f t="shared" si="40"/>
        <v>0</v>
      </c>
      <c r="AD135" s="119">
        <f t="shared" si="40"/>
        <v>0</v>
      </c>
      <c r="AE135" s="70"/>
      <c r="AF135" s="67">
        <f>+H135*tab!D$8</f>
        <v>0</v>
      </c>
      <c r="AG135" s="67">
        <f>+I135*tab!E$8</f>
        <v>0</v>
      </c>
      <c r="AH135" s="67">
        <f>+J135*tab!F$8</f>
        <v>0</v>
      </c>
      <c r="AI135" s="67">
        <f>+K135*tab!G$8</f>
        <v>0</v>
      </c>
      <c r="AJ135" s="67">
        <f>+L135*tab!H$8</f>
        <v>0</v>
      </c>
      <c r="AK135" s="67">
        <f>+M135*tab!I$8</f>
        <v>0</v>
      </c>
      <c r="AL135" s="67">
        <f>+N135*tab!J$8</f>
        <v>0</v>
      </c>
      <c r="AM135" s="70"/>
      <c r="AN135" s="152">
        <v>0</v>
      </c>
      <c r="AO135" s="119">
        <f t="shared" si="41"/>
        <v>0</v>
      </c>
      <c r="AP135" s="119">
        <f t="shared" si="41"/>
        <v>0</v>
      </c>
      <c r="AQ135" s="119">
        <f t="shared" si="41"/>
        <v>0</v>
      </c>
      <c r="AR135" s="119">
        <f t="shared" si="41"/>
        <v>0</v>
      </c>
      <c r="AS135" s="119">
        <f t="shared" si="41"/>
        <v>0</v>
      </c>
      <c r="AT135" s="119">
        <f t="shared" si="41"/>
        <v>0</v>
      </c>
      <c r="AU135" s="91"/>
      <c r="AV135" s="133"/>
    </row>
    <row r="136" spans="2:48" s="112" customFormat="1" x14ac:dyDescent="0.2">
      <c r="B136" s="953"/>
      <c r="C136" s="149"/>
      <c r="D136" s="49">
        <v>122</v>
      </c>
      <c r="E136" s="150" t="s">
        <v>336</v>
      </c>
      <c r="F136" s="831" t="s">
        <v>274</v>
      </c>
      <c r="G136" s="967"/>
      <c r="H136" s="954">
        <v>0</v>
      </c>
      <c r="I136" s="118">
        <f t="shared" si="39"/>
        <v>0</v>
      </c>
      <c r="J136" s="118">
        <f t="shared" si="39"/>
        <v>0</v>
      </c>
      <c r="K136" s="118">
        <f t="shared" si="39"/>
        <v>0</v>
      </c>
      <c r="L136" s="118">
        <f t="shared" si="39"/>
        <v>0</v>
      </c>
      <c r="M136" s="118">
        <f t="shared" si="39"/>
        <v>0</v>
      </c>
      <c r="N136" s="118">
        <f t="shared" si="39"/>
        <v>0</v>
      </c>
      <c r="O136" s="70"/>
      <c r="P136" s="67">
        <f>H136*tab!E$7</f>
        <v>0</v>
      </c>
      <c r="Q136" s="67">
        <f>I136*tab!F$7</f>
        <v>0</v>
      </c>
      <c r="R136" s="67">
        <f>J136*tab!G$7</f>
        <v>0</v>
      </c>
      <c r="S136" s="67">
        <f>K136*tab!H$7</f>
        <v>0</v>
      </c>
      <c r="T136" s="67">
        <f>L136*tab!I$7</f>
        <v>0</v>
      </c>
      <c r="U136" s="67">
        <f>M136*tab!J$7</f>
        <v>0</v>
      </c>
      <c r="V136" s="67">
        <f>N136*tab!K$7</f>
        <v>0</v>
      </c>
      <c r="W136" s="70"/>
      <c r="X136" s="119">
        <v>0</v>
      </c>
      <c r="Y136" s="119">
        <f t="shared" si="38"/>
        <v>0</v>
      </c>
      <c r="Z136" s="119">
        <f t="shared" si="40"/>
        <v>0</v>
      </c>
      <c r="AA136" s="119">
        <f t="shared" si="40"/>
        <v>0</v>
      </c>
      <c r="AB136" s="119">
        <f t="shared" si="40"/>
        <v>0</v>
      </c>
      <c r="AC136" s="119">
        <f t="shared" si="40"/>
        <v>0</v>
      </c>
      <c r="AD136" s="119">
        <f t="shared" si="40"/>
        <v>0</v>
      </c>
      <c r="AE136" s="70"/>
      <c r="AF136" s="67">
        <f>+H136*tab!D$8</f>
        <v>0</v>
      </c>
      <c r="AG136" s="67">
        <f>+I136*tab!E$8</f>
        <v>0</v>
      </c>
      <c r="AH136" s="67">
        <f>+J136*tab!F$8</f>
        <v>0</v>
      </c>
      <c r="AI136" s="67">
        <f>+K136*tab!G$8</f>
        <v>0</v>
      </c>
      <c r="AJ136" s="67">
        <f>+L136*tab!H$8</f>
        <v>0</v>
      </c>
      <c r="AK136" s="67">
        <f>+M136*tab!I$8</f>
        <v>0</v>
      </c>
      <c r="AL136" s="67">
        <f>+N136*tab!J$8</f>
        <v>0</v>
      </c>
      <c r="AM136" s="70"/>
      <c r="AN136" s="152">
        <v>0</v>
      </c>
      <c r="AO136" s="119">
        <f t="shared" si="41"/>
        <v>0</v>
      </c>
      <c r="AP136" s="119">
        <f t="shared" si="41"/>
        <v>0</v>
      </c>
      <c r="AQ136" s="119">
        <f t="shared" si="41"/>
        <v>0</v>
      </c>
      <c r="AR136" s="119">
        <f t="shared" si="41"/>
        <v>0</v>
      </c>
      <c r="AS136" s="119">
        <f t="shared" si="41"/>
        <v>0</v>
      </c>
      <c r="AT136" s="119">
        <f t="shared" si="41"/>
        <v>0</v>
      </c>
      <c r="AU136" s="91"/>
      <c r="AV136" s="133"/>
    </row>
    <row r="137" spans="2:48" s="112" customFormat="1" x14ac:dyDescent="0.2">
      <c r="B137" s="953"/>
      <c r="C137" s="149"/>
      <c r="D137" s="49">
        <v>123</v>
      </c>
      <c r="E137" s="150" t="s">
        <v>337</v>
      </c>
      <c r="F137" s="831" t="s">
        <v>274</v>
      </c>
      <c r="G137" s="967"/>
      <c r="H137" s="954">
        <v>0</v>
      </c>
      <c r="I137" s="118">
        <f t="shared" ref="I137:N139" si="42">H137</f>
        <v>0</v>
      </c>
      <c r="J137" s="118">
        <f t="shared" si="42"/>
        <v>0</v>
      </c>
      <c r="K137" s="118">
        <f t="shared" si="42"/>
        <v>0</v>
      </c>
      <c r="L137" s="118">
        <f t="shared" si="42"/>
        <v>0</v>
      </c>
      <c r="M137" s="118">
        <f t="shared" si="42"/>
        <v>0</v>
      </c>
      <c r="N137" s="118">
        <f t="shared" si="42"/>
        <v>0</v>
      </c>
      <c r="O137" s="70"/>
      <c r="P137" s="67">
        <f>H137*tab!E$7</f>
        <v>0</v>
      </c>
      <c r="Q137" s="67">
        <f>I137*tab!F$7</f>
        <v>0</v>
      </c>
      <c r="R137" s="67">
        <f>J137*tab!G$7</f>
        <v>0</v>
      </c>
      <c r="S137" s="67">
        <f>K137*tab!H$7</f>
        <v>0</v>
      </c>
      <c r="T137" s="67">
        <f>L137*tab!I$7</f>
        <v>0</v>
      </c>
      <c r="U137" s="67">
        <f>M137*tab!J$7</f>
        <v>0</v>
      </c>
      <c r="V137" s="67">
        <f>N137*tab!K$7</f>
        <v>0</v>
      </c>
      <c r="W137" s="70"/>
      <c r="X137" s="119">
        <v>0</v>
      </c>
      <c r="Y137" s="119">
        <f t="shared" si="38"/>
        <v>0</v>
      </c>
      <c r="Z137" s="119">
        <f t="shared" si="40"/>
        <v>0</v>
      </c>
      <c r="AA137" s="119">
        <f t="shared" si="40"/>
        <v>0</v>
      </c>
      <c r="AB137" s="119">
        <f t="shared" si="40"/>
        <v>0</v>
      </c>
      <c r="AC137" s="119">
        <f t="shared" si="40"/>
        <v>0</v>
      </c>
      <c r="AD137" s="119">
        <f t="shared" si="40"/>
        <v>0</v>
      </c>
      <c r="AE137" s="70"/>
      <c r="AF137" s="67">
        <f>+H137*tab!D$8</f>
        <v>0</v>
      </c>
      <c r="AG137" s="67">
        <f>+I137*tab!E$8</f>
        <v>0</v>
      </c>
      <c r="AH137" s="67">
        <f>+J137*tab!F$8</f>
        <v>0</v>
      </c>
      <c r="AI137" s="67">
        <f>+K137*tab!G$8</f>
        <v>0</v>
      </c>
      <c r="AJ137" s="67">
        <f>+L137*tab!H$8</f>
        <v>0</v>
      </c>
      <c r="AK137" s="67">
        <f>+M137*tab!I$8</f>
        <v>0</v>
      </c>
      <c r="AL137" s="67">
        <f>+N137*tab!J$8</f>
        <v>0</v>
      </c>
      <c r="AM137" s="70"/>
      <c r="AN137" s="152">
        <v>0</v>
      </c>
      <c r="AO137" s="119">
        <f t="shared" si="41"/>
        <v>0</v>
      </c>
      <c r="AP137" s="119">
        <f t="shared" si="41"/>
        <v>0</v>
      </c>
      <c r="AQ137" s="119">
        <f t="shared" si="41"/>
        <v>0</v>
      </c>
      <c r="AR137" s="119">
        <f t="shared" si="41"/>
        <v>0</v>
      </c>
      <c r="AS137" s="119">
        <f t="shared" si="41"/>
        <v>0</v>
      </c>
      <c r="AT137" s="119">
        <f t="shared" si="41"/>
        <v>0</v>
      </c>
      <c r="AU137" s="91"/>
      <c r="AV137" s="133"/>
    </row>
    <row r="138" spans="2:48" s="112" customFormat="1" x14ac:dyDescent="0.2">
      <c r="B138" s="953"/>
      <c r="C138" s="149"/>
      <c r="D138" s="49">
        <v>124</v>
      </c>
      <c r="E138" s="150" t="s">
        <v>338</v>
      </c>
      <c r="F138" s="831" t="s">
        <v>274</v>
      </c>
      <c r="G138" s="967"/>
      <c r="H138" s="954">
        <v>0</v>
      </c>
      <c r="I138" s="118">
        <f t="shared" si="42"/>
        <v>0</v>
      </c>
      <c r="J138" s="118">
        <f t="shared" si="42"/>
        <v>0</v>
      </c>
      <c r="K138" s="118">
        <f t="shared" si="42"/>
        <v>0</v>
      </c>
      <c r="L138" s="118">
        <f t="shared" si="42"/>
        <v>0</v>
      </c>
      <c r="M138" s="118">
        <f t="shared" si="42"/>
        <v>0</v>
      </c>
      <c r="N138" s="118">
        <f t="shared" si="42"/>
        <v>0</v>
      </c>
      <c r="O138" s="70"/>
      <c r="P138" s="67">
        <f>H138*tab!E$7</f>
        <v>0</v>
      </c>
      <c r="Q138" s="67">
        <f>I138*tab!F$7</f>
        <v>0</v>
      </c>
      <c r="R138" s="67">
        <f>J138*tab!G$7</f>
        <v>0</v>
      </c>
      <c r="S138" s="67">
        <f>K138*tab!H$7</f>
        <v>0</v>
      </c>
      <c r="T138" s="67">
        <f>L138*tab!I$7</f>
        <v>0</v>
      </c>
      <c r="U138" s="67">
        <f>M138*tab!J$7</f>
        <v>0</v>
      </c>
      <c r="V138" s="67">
        <f>N138*tab!K$7</f>
        <v>0</v>
      </c>
      <c r="W138" s="70"/>
      <c r="X138" s="119">
        <v>0</v>
      </c>
      <c r="Y138" s="119">
        <f t="shared" si="38"/>
        <v>0</v>
      </c>
      <c r="Z138" s="119">
        <f t="shared" si="40"/>
        <v>0</v>
      </c>
      <c r="AA138" s="119">
        <f t="shared" si="40"/>
        <v>0</v>
      </c>
      <c r="AB138" s="119">
        <f t="shared" si="40"/>
        <v>0</v>
      </c>
      <c r="AC138" s="119">
        <f t="shared" si="40"/>
        <v>0</v>
      </c>
      <c r="AD138" s="119">
        <f t="shared" si="40"/>
        <v>0</v>
      </c>
      <c r="AE138" s="70"/>
      <c r="AF138" s="67">
        <f>+H138*tab!D$8</f>
        <v>0</v>
      </c>
      <c r="AG138" s="67">
        <f>+I138*tab!E$8</f>
        <v>0</v>
      </c>
      <c r="AH138" s="67">
        <f>+J138*tab!F$8</f>
        <v>0</v>
      </c>
      <c r="AI138" s="67">
        <f>+K138*tab!G$8</f>
        <v>0</v>
      </c>
      <c r="AJ138" s="67">
        <f>+L138*tab!H$8</f>
        <v>0</v>
      </c>
      <c r="AK138" s="67">
        <f>+M138*tab!I$8</f>
        <v>0</v>
      </c>
      <c r="AL138" s="67">
        <f>+N138*tab!J$8</f>
        <v>0</v>
      </c>
      <c r="AM138" s="70"/>
      <c r="AN138" s="152">
        <v>0</v>
      </c>
      <c r="AO138" s="119">
        <f t="shared" si="41"/>
        <v>0</v>
      </c>
      <c r="AP138" s="119">
        <f t="shared" si="41"/>
        <v>0</v>
      </c>
      <c r="AQ138" s="119">
        <f t="shared" si="41"/>
        <v>0</v>
      </c>
      <c r="AR138" s="119">
        <f t="shared" si="41"/>
        <v>0</v>
      </c>
      <c r="AS138" s="119">
        <f t="shared" si="41"/>
        <v>0</v>
      </c>
      <c r="AT138" s="119">
        <f t="shared" si="41"/>
        <v>0</v>
      </c>
      <c r="AU138" s="91"/>
      <c r="AV138" s="133"/>
    </row>
    <row r="139" spans="2:48" s="112" customFormat="1" x14ac:dyDescent="0.2">
      <c r="B139" s="953"/>
      <c r="C139" s="149"/>
      <c r="D139" s="49">
        <v>125</v>
      </c>
      <c r="E139" s="150" t="s">
        <v>339</v>
      </c>
      <c r="F139" s="831" t="s">
        <v>274</v>
      </c>
      <c r="G139" s="967"/>
      <c r="H139" s="954">
        <v>0</v>
      </c>
      <c r="I139" s="118">
        <f t="shared" si="42"/>
        <v>0</v>
      </c>
      <c r="J139" s="118">
        <f t="shared" si="42"/>
        <v>0</v>
      </c>
      <c r="K139" s="118">
        <f t="shared" si="42"/>
        <v>0</v>
      </c>
      <c r="L139" s="118">
        <f t="shared" si="42"/>
        <v>0</v>
      </c>
      <c r="M139" s="118">
        <f t="shared" si="42"/>
        <v>0</v>
      </c>
      <c r="N139" s="118">
        <f t="shared" si="42"/>
        <v>0</v>
      </c>
      <c r="O139" s="70"/>
      <c r="P139" s="67">
        <f>H139*tab!E$7</f>
        <v>0</v>
      </c>
      <c r="Q139" s="67">
        <f>I139*tab!F$7</f>
        <v>0</v>
      </c>
      <c r="R139" s="67">
        <f>J139*tab!G$7</f>
        <v>0</v>
      </c>
      <c r="S139" s="67">
        <f>K139*tab!H$7</f>
        <v>0</v>
      </c>
      <c r="T139" s="67">
        <f>L139*tab!I$7</f>
        <v>0</v>
      </c>
      <c r="U139" s="67">
        <f>M139*tab!J$7</f>
        <v>0</v>
      </c>
      <c r="V139" s="67">
        <f>N139*tab!K$7</f>
        <v>0</v>
      </c>
      <c r="W139" s="70"/>
      <c r="X139" s="119">
        <v>0</v>
      </c>
      <c r="Y139" s="119">
        <f t="shared" si="38"/>
        <v>0</v>
      </c>
      <c r="Z139" s="119">
        <f t="shared" si="40"/>
        <v>0</v>
      </c>
      <c r="AA139" s="119">
        <f t="shared" si="40"/>
        <v>0</v>
      </c>
      <c r="AB139" s="119">
        <f t="shared" si="40"/>
        <v>0</v>
      </c>
      <c r="AC139" s="119">
        <f t="shared" si="40"/>
        <v>0</v>
      </c>
      <c r="AD139" s="119">
        <f t="shared" si="40"/>
        <v>0</v>
      </c>
      <c r="AE139" s="70"/>
      <c r="AF139" s="67">
        <f>+H139*tab!D$8</f>
        <v>0</v>
      </c>
      <c r="AG139" s="67">
        <f>+I139*tab!E$8</f>
        <v>0</v>
      </c>
      <c r="AH139" s="67">
        <f>+J139*tab!F$8</f>
        <v>0</v>
      </c>
      <c r="AI139" s="67">
        <f>+K139*tab!G$8</f>
        <v>0</v>
      </c>
      <c r="AJ139" s="67">
        <f>+L139*tab!H$8</f>
        <v>0</v>
      </c>
      <c r="AK139" s="67">
        <f>+M139*tab!I$8</f>
        <v>0</v>
      </c>
      <c r="AL139" s="67">
        <f>+N139*tab!J$8</f>
        <v>0</v>
      </c>
      <c r="AM139" s="70"/>
      <c r="AN139" s="152">
        <v>0</v>
      </c>
      <c r="AO139" s="119">
        <f t="shared" si="41"/>
        <v>0</v>
      </c>
      <c r="AP139" s="119">
        <f>AO139</f>
        <v>0</v>
      </c>
      <c r="AQ139" s="119">
        <f t="shared" si="41"/>
        <v>0</v>
      </c>
      <c r="AR139" s="119">
        <f t="shared" si="41"/>
        <v>0</v>
      </c>
      <c r="AS139" s="119">
        <f t="shared" si="41"/>
        <v>0</v>
      </c>
      <c r="AT139" s="119">
        <f t="shared" si="41"/>
        <v>0</v>
      </c>
      <c r="AU139" s="91"/>
      <c r="AV139" s="133"/>
    </row>
    <row r="140" spans="2:48" s="112" customFormat="1" x14ac:dyDescent="0.2">
      <c r="B140" s="953"/>
      <c r="C140" s="149"/>
      <c r="D140" s="49"/>
      <c r="E140" s="955"/>
      <c r="F140" s="956"/>
      <c r="G140" s="622"/>
      <c r="H140" s="622"/>
      <c r="I140" s="622"/>
      <c r="J140" s="622"/>
      <c r="K140" s="622"/>
      <c r="L140" s="622"/>
      <c r="M140" s="622"/>
      <c r="N140" s="622"/>
      <c r="O140" s="622"/>
      <c r="P140" s="623"/>
      <c r="Q140" s="623"/>
      <c r="R140" s="623"/>
      <c r="S140" s="623"/>
      <c r="T140" s="623"/>
      <c r="U140" s="623"/>
      <c r="V140" s="623"/>
      <c r="W140" s="622"/>
      <c r="X140" s="957"/>
      <c r="Y140" s="957"/>
      <c r="Z140" s="957"/>
      <c r="AA140" s="957"/>
      <c r="AB140" s="957"/>
      <c r="AC140" s="957"/>
      <c r="AD140" s="957"/>
      <c r="AE140" s="622"/>
      <c r="AF140" s="623"/>
      <c r="AG140" s="623"/>
      <c r="AH140" s="623"/>
      <c r="AI140" s="623"/>
      <c r="AJ140" s="623"/>
      <c r="AK140" s="623"/>
      <c r="AL140" s="623"/>
      <c r="AM140" s="622"/>
      <c r="AN140" s="957"/>
      <c r="AO140" s="957"/>
      <c r="AP140" s="957"/>
      <c r="AQ140" s="957"/>
      <c r="AR140" s="957"/>
      <c r="AS140" s="957"/>
      <c r="AT140" s="957"/>
      <c r="AU140" s="958"/>
      <c r="AV140" s="133"/>
    </row>
    <row r="141" spans="2:48" s="117" customFormat="1" x14ac:dyDescent="0.2">
      <c r="B141" s="959"/>
      <c r="C141" s="960"/>
      <c r="D141" s="606" t="s">
        <v>385</v>
      </c>
      <c r="E141" s="92"/>
      <c r="F141" s="961"/>
      <c r="G141" s="1473"/>
      <c r="H141" s="45">
        <f t="shared" ref="H141:M141" si="43">SUM(H15:H139)</f>
        <v>0</v>
      </c>
      <c r="I141" s="45">
        <f t="shared" si="43"/>
        <v>0</v>
      </c>
      <c r="J141" s="45">
        <f t="shared" si="43"/>
        <v>0</v>
      </c>
      <c r="K141" s="45">
        <f t="shared" si="43"/>
        <v>0</v>
      </c>
      <c r="L141" s="45">
        <f t="shared" si="43"/>
        <v>0</v>
      </c>
      <c r="M141" s="45">
        <f t="shared" si="43"/>
        <v>0</v>
      </c>
      <c r="N141" s="45">
        <f>SUM(N15:N139)</f>
        <v>0</v>
      </c>
      <c r="O141" s="65"/>
      <c r="P141" s="962">
        <f t="shared" ref="P141:U141" si="44">ROUND(SUM(P15:P139),0)</f>
        <v>0</v>
      </c>
      <c r="Q141" s="962">
        <f t="shared" si="44"/>
        <v>0</v>
      </c>
      <c r="R141" s="962">
        <f t="shared" si="44"/>
        <v>0</v>
      </c>
      <c r="S141" s="962">
        <f t="shared" si="44"/>
        <v>0</v>
      </c>
      <c r="T141" s="962">
        <f t="shared" si="44"/>
        <v>0</v>
      </c>
      <c r="U141" s="962">
        <f t="shared" si="44"/>
        <v>0</v>
      </c>
      <c r="V141" s="962">
        <f>ROUND(SUM(V15:V139),0)</f>
        <v>0</v>
      </c>
      <c r="W141" s="65"/>
      <c r="X141" s="963">
        <f t="shared" ref="X141:AC141" si="45">SUM(X15:X139)</f>
        <v>0</v>
      </c>
      <c r="Y141" s="963">
        <f t="shared" si="45"/>
        <v>0</v>
      </c>
      <c r="Z141" s="963">
        <f t="shared" si="45"/>
        <v>0</v>
      </c>
      <c r="AA141" s="963">
        <f t="shared" si="45"/>
        <v>0</v>
      </c>
      <c r="AB141" s="963">
        <f t="shared" si="45"/>
        <v>0</v>
      </c>
      <c r="AC141" s="963">
        <f t="shared" si="45"/>
        <v>0</v>
      </c>
      <c r="AD141" s="963">
        <f>SUM(AD15:AD139)</f>
        <v>0</v>
      </c>
      <c r="AE141" s="65"/>
      <c r="AF141" s="962">
        <f t="shared" ref="AF141:AK141" si="46">SUM(AF15:AF139)</f>
        <v>0</v>
      </c>
      <c r="AG141" s="962">
        <f t="shared" si="46"/>
        <v>0</v>
      </c>
      <c r="AH141" s="962">
        <f t="shared" si="46"/>
        <v>0</v>
      </c>
      <c r="AI141" s="962">
        <f t="shared" si="46"/>
        <v>0</v>
      </c>
      <c r="AJ141" s="962">
        <f t="shared" si="46"/>
        <v>0</v>
      </c>
      <c r="AK141" s="962">
        <f t="shared" si="46"/>
        <v>0</v>
      </c>
      <c r="AL141" s="962">
        <f>SUM(AL15:AL139)</f>
        <v>0</v>
      </c>
      <c r="AM141" s="65"/>
      <c r="AN141" s="962">
        <f t="shared" ref="AN141:AS141" si="47">SUM(AN15:AN139)</f>
        <v>0</v>
      </c>
      <c r="AO141" s="962">
        <f t="shared" si="47"/>
        <v>0</v>
      </c>
      <c r="AP141" s="962">
        <f t="shared" si="47"/>
        <v>0</v>
      </c>
      <c r="AQ141" s="962">
        <f t="shared" si="47"/>
        <v>0</v>
      </c>
      <c r="AR141" s="962">
        <f t="shared" si="47"/>
        <v>0</v>
      </c>
      <c r="AS141" s="962">
        <f t="shared" si="47"/>
        <v>0</v>
      </c>
      <c r="AT141" s="962">
        <f>SUM(AT15:AT139)</f>
        <v>0</v>
      </c>
      <c r="AU141" s="964"/>
      <c r="AV141" s="30"/>
    </row>
    <row r="142" spans="2:48" x14ac:dyDescent="0.2">
      <c r="B142" s="883"/>
      <c r="C142" s="493"/>
      <c r="D142" s="49"/>
      <c r="E142" s="49"/>
      <c r="F142" s="384"/>
      <c r="G142" s="70"/>
      <c r="H142" s="70"/>
      <c r="I142" s="70"/>
      <c r="J142" s="70"/>
      <c r="K142" s="70"/>
      <c r="L142" s="70"/>
      <c r="M142" s="70"/>
      <c r="N142" s="70"/>
      <c r="O142" s="70"/>
      <c r="P142" s="187"/>
      <c r="Q142" s="187"/>
      <c r="R142" s="187"/>
      <c r="S142" s="187"/>
      <c r="T142" s="187"/>
      <c r="U142" s="187"/>
      <c r="V142" s="187"/>
      <c r="W142" s="70"/>
      <c r="X142" s="187"/>
      <c r="Y142" s="187"/>
      <c r="Z142" s="187"/>
      <c r="AA142" s="187"/>
      <c r="AB142" s="187"/>
      <c r="AC142" s="187"/>
      <c r="AD142" s="187"/>
      <c r="AE142" s="70"/>
      <c r="AF142" s="187"/>
      <c r="AG142" s="187"/>
      <c r="AH142" s="187"/>
      <c r="AI142" s="187"/>
      <c r="AJ142" s="187"/>
      <c r="AK142" s="187"/>
      <c r="AL142" s="187"/>
      <c r="AM142" s="70"/>
      <c r="AN142" s="187"/>
      <c r="AO142" s="187"/>
      <c r="AP142" s="187"/>
      <c r="AQ142" s="624"/>
      <c r="AR142" s="624"/>
      <c r="AS142" s="624"/>
      <c r="AT142" s="624"/>
      <c r="AU142" s="624"/>
      <c r="AV142" s="77"/>
    </row>
    <row r="143" spans="2:48" x14ac:dyDescent="0.2">
      <c r="B143" s="883"/>
      <c r="C143" s="76"/>
      <c r="D143" s="120"/>
      <c r="E143" s="120"/>
      <c r="F143" s="121"/>
      <c r="G143" s="69"/>
      <c r="H143" s="69"/>
      <c r="I143" s="69"/>
      <c r="J143" s="69"/>
      <c r="K143" s="69"/>
      <c r="L143" s="69"/>
      <c r="M143" s="69"/>
      <c r="N143" s="69"/>
      <c r="O143" s="69"/>
      <c r="P143" s="76"/>
      <c r="Q143" s="76"/>
      <c r="R143" s="76"/>
      <c r="S143" s="76"/>
      <c r="T143" s="76"/>
      <c r="U143" s="76"/>
      <c r="V143" s="76"/>
      <c r="W143" s="69"/>
      <c r="X143" s="76"/>
      <c r="Y143" s="76"/>
      <c r="Z143" s="76"/>
      <c r="AA143" s="76"/>
      <c r="AB143" s="76"/>
      <c r="AC143" s="76"/>
      <c r="AD143" s="76"/>
      <c r="AE143" s="69"/>
      <c r="AF143" s="76"/>
      <c r="AG143" s="76"/>
      <c r="AH143" s="76"/>
      <c r="AI143" s="76"/>
      <c r="AJ143" s="76"/>
      <c r="AK143" s="76"/>
      <c r="AL143" s="76"/>
      <c r="AM143" s="69"/>
      <c r="AN143" s="76"/>
      <c r="AO143" s="76"/>
      <c r="AP143" s="76"/>
      <c r="AQ143" s="76"/>
      <c r="AR143" s="76"/>
      <c r="AS143" s="76"/>
      <c r="AT143" s="76"/>
      <c r="AU143" s="76"/>
      <c r="AV143" s="77"/>
    </row>
    <row r="144" spans="2:48" x14ac:dyDescent="0.2">
      <c r="B144" s="85"/>
      <c r="C144" s="82"/>
      <c r="D144" s="134"/>
      <c r="E144" s="134"/>
      <c r="F144" s="135"/>
      <c r="G144" s="83"/>
      <c r="H144" s="83"/>
      <c r="I144" s="83"/>
      <c r="J144" s="83"/>
      <c r="K144" s="83"/>
      <c r="L144" s="83"/>
      <c r="M144" s="1476"/>
      <c r="N144" s="1476"/>
      <c r="O144" s="83"/>
      <c r="P144" s="82"/>
      <c r="Q144" s="82"/>
      <c r="R144" s="82"/>
      <c r="S144" s="82"/>
      <c r="T144" s="82"/>
      <c r="U144" s="1414"/>
      <c r="V144" s="1414"/>
      <c r="W144" s="83"/>
      <c r="X144" s="82"/>
      <c r="Y144" s="82"/>
      <c r="Z144" s="82"/>
      <c r="AA144" s="82"/>
      <c r="AB144" s="82"/>
      <c r="AC144" s="1414"/>
      <c r="AD144" s="1414"/>
      <c r="AE144" s="83"/>
      <c r="AF144" s="82"/>
      <c r="AG144" s="82"/>
      <c r="AH144" s="82"/>
      <c r="AI144" s="82"/>
      <c r="AJ144" s="82"/>
      <c r="AK144" s="1414"/>
      <c r="AL144" s="1414"/>
      <c r="AM144" s="83"/>
      <c r="AN144" s="82"/>
      <c r="AO144" s="82"/>
      <c r="AP144" s="82"/>
      <c r="AQ144" s="82"/>
      <c r="AR144" s="82"/>
      <c r="AS144" s="1414"/>
      <c r="AT144" s="1414"/>
      <c r="AU144" s="82"/>
      <c r="AV144" s="84"/>
    </row>
    <row r="147" spans="4:39" s="113" customFormat="1" x14ac:dyDescent="0.2">
      <c r="D147" s="114"/>
      <c r="E147" s="114"/>
      <c r="F147" s="115"/>
      <c r="G147" s="116"/>
      <c r="H147" s="116"/>
      <c r="I147" s="116"/>
      <c r="J147" s="116"/>
      <c r="K147" s="116"/>
      <c r="L147" s="116"/>
      <c r="M147" s="116"/>
      <c r="N147" s="116"/>
      <c r="O147" s="116"/>
      <c r="W147" s="116"/>
      <c r="AE147" s="116"/>
      <c r="AM147" s="116"/>
    </row>
    <row r="157" spans="4:39" s="113" customFormat="1" x14ac:dyDescent="0.2">
      <c r="D157" s="114"/>
      <c r="E157" s="114"/>
      <c r="F157" s="115"/>
      <c r="G157" s="116"/>
      <c r="H157" s="116"/>
      <c r="I157" s="116"/>
      <c r="J157" s="116"/>
      <c r="K157" s="116"/>
      <c r="L157" s="116"/>
      <c r="M157" s="116"/>
      <c r="N157" s="116"/>
      <c r="O157" s="116"/>
      <c r="W157" s="116"/>
      <c r="AE157" s="116"/>
      <c r="AM157" s="116"/>
    </row>
    <row r="162" spans="4:39" s="113" customFormat="1" x14ac:dyDescent="0.2">
      <c r="D162" s="114"/>
      <c r="E162" s="114"/>
      <c r="F162" s="115"/>
      <c r="G162" s="116"/>
      <c r="H162" s="116"/>
      <c r="I162" s="116"/>
      <c r="J162" s="116"/>
      <c r="K162" s="116"/>
      <c r="L162" s="116"/>
      <c r="M162" s="116"/>
      <c r="N162" s="116"/>
      <c r="O162" s="116"/>
      <c r="W162" s="116"/>
      <c r="AE162" s="116"/>
      <c r="AM162" s="116"/>
    </row>
    <row r="167" spans="4:39" s="113" customFormat="1" x14ac:dyDescent="0.2">
      <c r="D167" s="114"/>
      <c r="E167" s="114"/>
      <c r="F167" s="115"/>
      <c r="G167" s="116"/>
      <c r="H167" s="116"/>
      <c r="I167" s="116"/>
      <c r="J167" s="116"/>
      <c r="K167" s="116"/>
      <c r="L167" s="116"/>
      <c r="M167" s="116"/>
      <c r="N167" s="116"/>
      <c r="O167" s="116"/>
      <c r="W167" s="116"/>
      <c r="AE167" s="116"/>
      <c r="AM167" s="116"/>
    </row>
    <row r="172" spans="4:39" s="113" customFormat="1" x14ac:dyDescent="0.2">
      <c r="D172" s="114"/>
      <c r="E172" s="114"/>
      <c r="F172" s="115"/>
      <c r="G172" s="116"/>
      <c r="H172" s="116"/>
      <c r="I172" s="116"/>
      <c r="J172" s="116"/>
      <c r="K172" s="116"/>
      <c r="L172" s="116"/>
      <c r="M172" s="116"/>
      <c r="N172" s="116"/>
      <c r="O172" s="116"/>
      <c r="W172" s="116"/>
      <c r="AE172" s="116"/>
      <c r="AM172" s="116"/>
    </row>
    <row r="177" spans="4:39" s="113" customFormat="1" x14ac:dyDescent="0.2">
      <c r="D177" s="114"/>
      <c r="E177" s="114"/>
      <c r="F177" s="115"/>
      <c r="G177" s="116"/>
      <c r="H177" s="116"/>
      <c r="I177" s="116"/>
      <c r="J177" s="116"/>
      <c r="K177" s="116"/>
      <c r="L177" s="116"/>
      <c r="M177" s="116"/>
      <c r="N177" s="116"/>
      <c r="O177" s="116"/>
      <c r="W177" s="116"/>
      <c r="AE177" s="116"/>
      <c r="AM177" s="116"/>
    </row>
    <row r="182" spans="4:39" s="113" customFormat="1" x14ac:dyDescent="0.2">
      <c r="D182" s="114"/>
      <c r="E182" s="114"/>
      <c r="F182" s="115"/>
      <c r="G182" s="116"/>
      <c r="H182" s="116"/>
      <c r="I182" s="116"/>
      <c r="J182" s="116"/>
      <c r="K182" s="116"/>
      <c r="L182" s="116"/>
      <c r="M182" s="116"/>
      <c r="N182" s="116"/>
      <c r="O182" s="116"/>
      <c r="W182" s="116"/>
      <c r="AE182" s="116"/>
      <c r="AM182" s="116"/>
    </row>
    <row r="193" spans="4:39" s="113" customFormat="1" x14ac:dyDescent="0.2">
      <c r="D193" s="114"/>
      <c r="E193" s="114"/>
      <c r="F193" s="115"/>
      <c r="G193" s="116"/>
      <c r="H193" s="116"/>
      <c r="I193" s="116"/>
      <c r="J193" s="116"/>
      <c r="K193" s="116"/>
      <c r="L193" s="116"/>
      <c r="M193" s="116"/>
      <c r="N193" s="116"/>
      <c r="O193" s="116"/>
      <c r="W193" s="116"/>
      <c r="AE193" s="116"/>
      <c r="AM193" s="116"/>
    </row>
    <row r="198" spans="4:39" s="113" customFormat="1" x14ac:dyDescent="0.2">
      <c r="D198" s="114"/>
      <c r="E198" s="114"/>
      <c r="F198" s="115"/>
      <c r="G198" s="116"/>
      <c r="H198" s="116"/>
      <c r="I198" s="116"/>
      <c r="J198" s="116"/>
      <c r="K198" s="116"/>
      <c r="L198" s="116"/>
      <c r="M198" s="116"/>
      <c r="N198" s="116"/>
      <c r="O198" s="116"/>
      <c r="W198" s="116"/>
      <c r="AE198" s="116"/>
      <c r="AM198" s="116"/>
    </row>
    <row r="203" spans="4:39" s="113" customFormat="1" x14ac:dyDescent="0.2">
      <c r="D203" s="114"/>
      <c r="E203" s="114"/>
      <c r="F203" s="115"/>
      <c r="G203" s="116"/>
      <c r="H203" s="116"/>
      <c r="I203" s="116"/>
      <c r="J203" s="116"/>
      <c r="K203" s="116"/>
      <c r="L203" s="116"/>
      <c r="M203" s="116"/>
      <c r="N203" s="116"/>
      <c r="O203" s="116"/>
      <c r="W203" s="116"/>
      <c r="AE203" s="116"/>
      <c r="AM203" s="116"/>
    </row>
    <row r="208" spans="4:39" s="113" customFormat="1" x14ac:dyDescent="0.2">
      <c r="D208" s="114"/>
      <c r="E208" s="114"/>
      <c r="F208" s="115"/>
      <c r="G208" s="116"/>
      <c r="H208" s="116"/>
      <c r="I208" s="116"/>
      <c r="J208" s="116"/>
      <c r="K208" s="116"/>
      <c r="L208" s="116"/>
      <c r="M208" s="116"/>
      <c r="N208" s="116"/>
      <c r="O208" s="116"/>
      <c r="W208" s="116"/>
      <c r="AE208" s="116"/>
      <c r="AM208" s="116"/>
    </row>
    <row r="213" spans="4:39" s="113" customFormat="1" x14ac:dyDescent="0.2">
      <c r="D213" s="114"/>
      <c r="E213" s="114"/>
      <c r="F213" s="115"/>
      <c r="G213" s="116"/>
      <c r="H213" s="116"/>
      <c r="I213" s="116"/>
      <c r="J213" s="116"/>
      <c r="K213" s="116"/>
      <c r="L213" s="116"/>
      <c r="M213" s="116"/>
      <c r="N213" s="116"/>
      <c r="O213" s="116"/>
      <c r="W213" s="116"/>
      <c r="AE213" s="116"/>
      <c r="AM213" s="116"/>
    </row>
    <row r="216" spans="4:39" x14ac:dyDescent="0.2">
      <c r="D216" s="114"/>
      <c r="E216" s="114"/>
      <c r="F216" s="115"/>
      <c r="G216" s="116"/>
      <c r="H216" s="116"/>
      <c r="O216" s="116"/>
      <c r="W216" s="116"/>
      <c r="AE216" s="116"/>
      <c r="AM216" s="116"/>
    </row>
    <row r="217" spans="4:39" x14ac:dyDescent="0.2">
      <c r="D217" s="114"/>
      <c r="E217" s="114"/>
      <c r="F217" s="115"/>
      <c r="G217" s="116"/>
      <c r="H217" s="116"/>
      <c r="O217" s="116"/>
      <c r="W217" s="116"/>
      <c r="AE217" s="116"/>
      <c r="AM217" s="116"/>
    </row>
    <row r="218" spans="4:39" s="113" customFormat="1" x14ac:dyDescent="0.2">
      <c r="D218" s="114"/>
      <c r="E218" s="114"/>
      <c r="F218" s="115"/>
      <c r="G218" s="116"/>
      <c r="H218" s="116"/>
      <c r="I218" s="116"/>
      <c r="J218" s="116"/>
      <c r="K218" s="116"/>
      <c r="L218" s="116"/>
      <c r="M218" s="116"/>
      <c r="N218" s="116"/>
      <c r="O218" s="116"/>
      <c r="W218" s="116"/>
      <c r="AE218" s="116"/>
      <c r="AM218" s="116"/>
    </row>
  </sheetData>
  <sheetProtection algorithmName="SHA-512" hashValue="DAsaqPtVv9mAd1nA3YxeGt0ef8rSNTRBMDzzCDf2fjOucave9AnU+R6tszHcrDcgG32n1jsHMCLYeMJZcRTF9w==" saltValue="n7d/pJarRBUmAxtGoQWP7Q==" spinCount="100000" sheet="1" objects="1" scenarios="1"/>
  <pageMargins left="0.70866141732283472" right="0.70866141732283472" top="0.74803149606299213" bottom="0.74803149606299213" header="0.31496062992125984" footer="0.31496062992125984"/>
  <pageSetup paperSize="9" scale="28" orientation="portrait" r:id="rId1"/>
  <rowBreaks count="1" manualBreakCount="1">
    <brk id="144" min="1" max="58" man="1"/>
  </rowBreaks>
  <colBreaks count="1" manualBreakCount="1">
    <brk id="22" min="1" max="14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599"/>
  <sheetViews>
    <sheetView showGridLines="0" tabSelected="1" zoomScale="80" zoomScaleNormal="80" zoomScaleSheetLayoutView="85" zoomScalePageLayoutView="40" workbookViewId="0">
      <selection activeCell="B2" sqref="B2"/>
    </sheetView>
  </sheetViews>
  <sheetFormatPr defaultRowHeight="12.75" x14ac:dyDescent="0.2"/>
  <cols>
    <col min="1" max="1" width="2.5703125" style="190" customWidth="1"/>
    <col min="2" max="3" width="2.7109375" style="190" customWidth="1"/>
    <col min="4" max="4" width="40.42578125" style="190" customWidth="1"/>
    <col min="5" max="5" width="8.42578125" style="190" customWidth="1"/>
    <col min="6" max="6" width="5.7109375" style="194" customWidth="1"/>
    <col min="7" max="7" width="2.7109375" style="190" hidden="1" customWidth="1"/>
    <col min="8" max="8" width="14.85546875" style="190" customWidth="1"/>
    <col min="9" max="12" width="14.85546875" style="194" customWidth="1"/>
    <col min="13" max="13" width="14.85546875" style="194" hidden="1" customWidth="1"/>
    <col min="14" max="14" width="3.42578125" style="194" customWidth="1"/>
    <col min="15" max="15" width="14.85546875" style="194" customWidth="1"/>
    <col min="16" max="16" width="16.140625" style="190" customWidth="1"/>
    <col min="17" max="17" width="2.7109375" style="190" customWidth="1"/>
    <col min="18" max="16384" width="9.140625" style="190"/>
  </cols>
  <sheetData>
    <row r="1" spans="1:16" x14ac:dyDescent="0.2">
      <c r="A1" s="164"/>
      <c r="B1" s="164"/>
      <c r="C1" s="164"/>
      <c r="D1" s="164"/>
      <c r="E1" s="164"/>
      <c r="F1" s="170"/>
      <c r="G1" s="170"/>
      <c r="H1" s="170"/>
      <c r="I1" s="170"/>
      <c r="J1" s="170"/>
      <c r="K1" s="170"/>
      <c r="L1" s="170"/>
      <c r="M1" s="170"/>
      <c r="N1" s="164"/>
      <c r="O1" s="164"/>
      <c r="P1" s="164"/>
    </row>
    <row r="2" spans="1:16" x14ac:dyDescent="0.2">
      <c r="A2" s="164"/>
      <c r="B2" s="837"/>
      <c r="C2" s="19"/>
      <c r="D2" s="19"/>
      <c r="E2" s="19"/>
      <c r="F2" s="171"/>
      <c r="G2" s="171"/>
      <c r="H2" s="171"/>
      <c r="I2" s="171"/>
      <c r="J2" s="171"/>
      <c r="K2" s="171"/>
      <c r="L2" s="171"/>
      <c r="M2" s="171"/>
      <c r="N2" s="20"/>
      <c r="O2" s="164"/>
    </row>
    <row r="3" spans="1:16" x14ac:dyDescent="0.2">
      <c r="A3" s="164"/>
      <c r="B3" s="21"/>
      <c r="C3" s="22"/>
      <c r="D3" s="23"/>
      <c r="E3" s="22"/>
      <c r="F3" s="24"/>
      <c r="G3" s="24"/>
      <c r="H3" s="24"/>
      <c r="I3" s="24"/>
      <c r="J3" s="24"/>
      <c r="K3" s="24"/>
      <c r="L3" s="24"/>
      <c r="M3" s="24"/>
      <c r="N3" s="25"/>
      <c r="O3" s="164"/>
    </row>
    <row r="4" spans="1:16" ht="18.75" x14ac:dyDescent="0.3">
      <c r="A4" s="167"/>
      <c r="B4" s="172"/>
      <c r="C4" s="844" t="s">
        <v>790</v>
      </c>
      <c r="D4" s="174"/>
      <c r="E4" s="174"/>
      <c r="F4" s="175"/>
      <c r="G4" s="175"/>
      <c r="H4" s="175"/>
      <c r="I4" s="175"/>
      <c r="J4" s="175"/>
      <c r="K4" s="175"/>
      <c r="L4" s="175"/>
      <c r="M4" s="175"/>
      <c r="N4" s="176"/>
      <c r="O4" s="167"/>
    </row>
    <row r="5" spans="1:16" ht="18.75" x14ac:dyDescent="0.3">
      <c r="A5" s="168"/>
      <c r="B5" s="26"/>
      <c r="C5" s="844" t="str">
        <f>H10</f>
        <v>Voorbeeld SWV VO Alkmaar</v>
      </c>
      <c r="D5" s="57"/>
      <c r="E5" s="27"/>
      <c r="F5" s="177"/>
      <c r="G5" s="177"/>
      <c r="H5" s="177"/>
      <c r="I5" s="177"/>
      <c r="J5" s="177"/>
      <c r="K5" s="177"/>
      <c r="L5" s="177"/>
      <c r="M5" s="177"/>
      <c r="N5" s="28"/>
      <c r="O5" s="168"/>
    </row>
    <row r="6" spans="1:16" x14ac:dyDescent="0.2">
      <c r="A6" s="164"/>
      <c r="B6" s="21"/>
      <c r="C6" s="22"/>
      <c r="D6" s="23"/>
      <c r="E6" s="22"/>
      <c r="F6" s="24"/>
      <c r="G6" s="24"/>
      <c r="H6" s="24"/>
      <c r="I6" s="24"/>
      <c r="J6" s="24"/>
      <c r="K6" s="24"/>
      <c r="L6" s="24"/>
      <c r="M6" s="24"/>
      <c r="N6" s="25"/>
      <c r="O6" s="164"/>
    </row>
    <row r="7" spans="1:16" x14ac:dyDescent="0.2">
      <c r="A7" s="164"/>
      <c r="B7" s="21"/>
      <c r="C7" s="22"/>
      <c r="D7" s="23"/>
      <c r="E7" s="22"/>
      <c r="F7" s="24"/>
      <c r="G7" s="24"/>
      <c r="H7" s="24"/>
      <c r="I7" s="24"/>
      <c r="J7" s="24"/>
      <c r="K7" s="24"/>
      <c r="L7" s="24"/>
      <c r="M7" s="24"/>
      <c r="N7" s="25"/>
      <c r="O7" s="164"/>
    </row>
    <row r="8" spans="1:16" x14ac:dyDescent="0.2">
      <c r="A8" s="164"/>
      <c r="B8" s="21"/>
      <c r="C8" s="22"/>
      <c r="D8" s="23"/>
      <c r="E8" s="22"/>
      <c r="F8" s="24"/>
      <c r="G8" s="24"/>
      <c r="H8" s="24"/>
      <c r="I8" s="24"/>
      <c r="J8" s="24"/>
      <c r="K8" s="24"/>
      <c r="L8" s="24"/>
      <c r="M8" s="24"/>
      <c r="N8" s="25"/>
      <c r="O8" s="164"/>
    </row>
    <row r="9" spans="1:16" x14ac:dyDescent="0.2">
      <c r="A9" s="164"/>
      <c r="B9" s="21"/>
      <c r="C9" s="34"/>
      <c r="D9" s="36"/>
      <c r="E9" s="34"/>
      <c r="F9" s="34"/>
      <c r="G9" s="182"/>
      <c r="H9" s="182"/>
      <c r="I9" s="182"/>
      <c r="J9" s="182"/>
      <c r="K9" s="182"/>
      <c r="L9" s="182"/>
      <c r="M9" s="182"/>
      <c r="N9" s="25"/>
      <c r="O9" s="164"/>
    </row>
    <row r="10" spans="1:16" x14ac:dyDescent="0.2">
      <c r="A10" s="164"/>
      <c r="B10" s="21"/>
      <c r="C10" s="34"/>
      <c r="D10" s="183" t="s">
        <v>340</v>
      </c>
      <c r="E10" s="34"/>
      <c r="F10" s="34"/>
      <c r="G10" s="822"/>
      <c r="H10" s="1057" t="s">
        <v>931</v>
      </c>
      <c r="I10" s="1058"/>
      <c r="J10" s="822"/>
      <c r="K10" s="184"/>
      <c r="L10" s="184"/>
      <c r="M10" s="184"/>
      <c r="N10" s="25"/>
      <c r="O10" s="164"/>
    </row>
    <row r="11" spans="1:16" x14ac:dyDescent="0.2">
      <c r="A11" s="164"/>
      <c r="B11" s="21"/>
      <c r="C11" s="34"/>
      <c r="D11" s="183" t="s">
        <v>70</v>
      </c>
      <c r="E11" s="34"/>
      <c r="F11" s="34"/>
      <c r="G11" s="822"/>
      <c r="H11" s="600" t="s">
        <v>932</v>
      </c>
      <c r="I11" s="34"/>
      <c r="J11" s="822"/>
      <c r="K11" s="184"/>
      <c r="L11" s="184"/>
      <c r="M11" s="184"/>
      <c r="N11" s="25"/>
      <c r="O11" s="164"/>
    </row>
    <row r="12" spans="1:16" x14ac:dyDescent="0.2">
      <c r="A12" s="164"/>
      <c r="B12" s="21"/>
      <c r="C12" s="34"/>
      <c r="D12" s="34"/>
      <c r="E12" s="34"/>
      <c r="F12" s="34"/>
      <c r="G12" s="34"/>
      <c r="H12" s="34"/>
      <c r="I12" s="34"/>
      <c r="J12" s="34"/>
      <c r="K12" s="34"/>
      <c r="L12" s="34"/>
      <c r="M12" s="34"/>
      <c r="N12" s="25"/>
      <c r="O12" s="164"/>
    </row>
    <row r="13" spans="1:16" x14ac:dyDescent="0.2">
      <c r="A13" s="164"/>
      <c r="B13" s="21"/>
      <c r="C13" s="22"/>
      <c r="D13" s="23"/>
      <c r="E13" s="22"/>
      <c r="F13" s="24"/>
      <c r="G13" s="24"/>
      <c r="H13" s="24"/>
      <c r="I13" s="24"/>
      <c r="J13" s="24"/>
      <c r="K13" s="24"/>
      <c r="L13" s="24"/>
      <c r="M13" s="24"/>
      <c r="N13" s="25"/>
      <c r="O13" s="164"/>
    </row>
    <row r="14" spans="1:16" x14ac:dyDescent="0.2">
      <c r="A14" s="164"/>
      <c r="B14" s="21"/>
      <c r="C14" s="22"/>
      <c r="D14" s="23"/>
      <c r="E14" s="22"/>
      <c r="F14" s="24"/>
      <c r="G14" s="24"/>
      <c r="H14" s="24"/>
      <c r="I14" s="24"/>
      <c r="J14" s="24"/>
      <c r="K14" s="24"/>
      <c r="L14" s="24"/>
      <c r="M14" s="24"/>
      <c r="N14" s="25"/>
      <c r="O14" s="164"/>
    </row>
    <row r="15" spans="1:16" x14ac:dyDescent="0.2">
      <c r="A15" s="164"/>
      <c r="B15" s="21"/>
      <c r="C15" s="22"/>
      <c r="D15" s="199" t="s">
        <v>119</v>
      </c>
      <c r="E15" s="200"/>
      <c r="F15" s="559"/>
      <c r="G15" s="590">
        <f>tab!F4</f>
        <v>2019</v>
      </c>
      <c r="H15" s="590">
        <f>tab!G4</f>
        <v>2020</v>
      </c>
      <c r="I15" s="590">
        <f>tab!H4</f>
        <v>2021</v>
      </c>
      <c r="J15" s="590">
        <f>tab!I4</f>
        <v>2022</v>
      </c>
      <c r="K15" s="590">
        <f>tab!J4</f>
        <v>2023</v>
      </c>
      <c r="L15" s="590">
        <f>tab!K4</f>
        <v>2024</v>
      </c>
      <c r="M15" s="590">
        <f>tab!L4</f>
        <v>2025</v>
      </c>
      <c r="N15" s="25"/>
      <c r="O15" s="164"/>
    </row>
    <row r="16" spans="1:16" x14ac:dyDescent="0.2">
      <c r="A16" s="164"/>
      <c r="B16" s="21"/>
      <c r="C16" s="22"/>
      <c r="D16" s="199" t="s">
        <v>228</v>
      </c>
      <c r="E16" s="200"/>
      <c r="F16" s="574"/>
      <c r="G16" s="560">
        <f>tab!E4</f>
        <v>2018</v>
      </c>
      <c r="H16" s="560">
        <f>tab!F4</f>
        <v>2019</v>
      </c>
      <c r="I16" s="560">
        <f>tab!G4</f>
        <v>2020</v>
      </c>
      <c r="J16" s="560">
        <f>tab!H4</f>
        <v>2021</v>
      </c>
      <c r="K16" s="560">
        <f>tab!I4</f>
        <v>2022</v>
      </c>
      <c r="L16" s="560">
        <f>tab!J4</f>
        <v>2023</v>
      </c>
      <c r="M16" s="560">
        <f>tab!K4</f>
        <v>2024</v>
      </c>
      <c r="N16" s="25"/>
      <c r="O16" s="164"/>
    </row>
    <row r="17" spans="1:15" x14ac:dyDescent="0.2">
      <c r="A17" s="164"/>
      <c r="B17" s="21"/>
      <c r="C17" s="22"/>
      <c r="D17" s="23"/>
      <c r="E17" s="22"/>
      <c r="F17" s="24"/>
      <c r="G17" s="24"/>
      <c r="H17" s="24"/>
      <c r="I17" s="24"/>
      <c r="J17" s="24"/>
      <c r="K17" s="24"/>
      <c r="L17" s="24"/>
      <c r="M17" s="24"/>
      <c r="N17" s="25"/>
      <c r="O17" s="164"/>
    </row>
    <row r="18" spans="1:15" x14ac:dyDescent="0.2">
      <c r="A18" s="164"/>
      <c r="B18" s="21"/>
      <c r="C18" s="34"/>
      <c r="D18" s="34"/>
      <c r="E18" s="34"/>
      <c r="F18" s="182"/>
      <c r="G18" s="182"/>
      <c r="H18" s="182"/>
      <c r="I18" s="182"/>
      <c r="J18" s="182"/>
      <c r="K18" s="182"/>
      <c r="L18" s="182"/>
      <c r="M18" s="182"/>
      <c r="N18" s="25"/>
      <c r="O18" s="164"/>
    </row>
    <row r="19" spans="1:15" ht="15.75" x14ac:dyDescent="0.25">
      <c r="A19" s="164"/>
      <c r="B19" s="21"/>
      <c r="C19" s="34"/>
      <c r="D19" s="1001" t="s">
        <v>791</v>
      </c>
      <c r="E19" s="34"/>
      <c r="F19" s="182"/>
      <c r="G19" s="182"/>
      <c r="H19" s="182"/>
      <c r="I19" s="182"/>
      <c r="J19" s="182"/>
      <c r="K19" s="182"/>
      <c r="L19" s="182"/>
      <c r="M19" s="182"/>
      <c r="N19" s="25"/>
      <c r="O19" s="164"/>
    </row>
    <row r="20" spans="1:15" ht="15.75" x14ac:dyDescent="0.25">
      <c r="A20" s="164"/>
      <c r="B20" s="21"/>
      <c r="C20" s="34"/>
      <c r="D20" s="34"/>
      <c r="E20" s="34"/>
      <c r="F20" s="182"/>
      <c r="G20" s="1053"/>
      <c r="H20" s="1053"/>
      <c r="I20" s="1053"/>
      <c r="J20" s="1053" t="s">
        <v>616</v>
      </c>
      <c r="K20" s="182"/>
      <c r="L20" s="182"/>
      <c r="M20" s="182"/>
      <c r="N20" s="25"/>
      <c r="O20" s="164"/>
    </row>
    <row r="21" spans="1:15" x14ac:dyDescent="0.2">
      <c r="A21" s="164"/>
      <c r="B21" s="21"/>
      <c r="C21" s="34"/>
      <c r="D21" s="187" t="s">
        <v>350</v>
      </c>
      <c r="E21" s="34"/>
      <c r="F21" s="841"/>
      <c r="G21" s="1223">
        <v>344</v>
      </c>
      <c r="H21" s="1223">
        <v>28</v>
      </c>
      <c r="I21" s="1223">
        <v>0</v>
      </c>
      <c r="J21" s="1223">
        <f>I21</f>
        <v>0</v>
      </c>
      <c r="K21" s="1223">
        <f>J21</f>
        <v>0</v>
      </c>
      <c r="L21" s="1223">
        <f>K21</f>
        <v>0</v>
      </c>
      <c r="M21" s="1223">
        <f>L21</f>
        <v>0</v>
      </c>
      <c r="N21" s="25"/>
      <c r="O21" s="164"/>
    </row>
    <row r="22" spans="1:15" x14ac:dyDescent="0.2">
      <c r="A22" s="164"/>
      <c r="B22" s="21"/>
      <c r="C22" s="34"/>
      <c r="D22" s="187" t="s">
        <v>352</v>
      </c>
      <c r="E22" s="34"/>
      <c r="F22" s="841"/>
      <c r="G22" s="1223">
        <v>429</v>
      </c>
      <c r="H22" s="1223">
        <v>421</v>
      </c>
      <c r="I22" s="1223">
        <v>456</v>
      </c>
      <c r="J22" s="1223">
        <f t="shared" ref="J22:M23" si="0">I22</f>
        <v>456</v>
      </c>
      <c r="K22" s="1223">
        <f t="shared" si="0"/>
        <v>456</v>
      </c>
      <c r="L22" s="1223">
        <f t="shared" si="0"/>
        <v>456</v>
      </c>
      <c r="M22" s="1223">
        <f t="shared" si="0"/>
        <v>456</v>
      </c>
      <c r="N22" s="25"/>
      <c r="O22" s="164"/>
    </row>
    <row r="23" spans="1:15" x14ac:dyDescent="0.2">
      <c r="A23" s="164"/>
      <c r="B23" s="21"/>
      <c r="C23" s="34"/>
      <c r="D23" s="187" t="s">
        <v>353</v>
      </c>
      <c r="E23" s="187"/>
      <c r="F23" s="841"/>
      <c r="G23" s="1244">
        <f>15408+G26-0.5*G27</f>
        <v>15401</v>
      </c>
      <c r="H23" s="1244">
        <v>14881</v>
      </c>
      <c r="I23" s="1223">
        <v>14586</v>
      </c>
      <c r="J23" s="1223">
        <f t="shared" si="0"/>
        <v>14586</v>
      </c>
      <c r="K23" s="1223">
        <f t="shared" si="0"/>
        <v>14586</v>
      </c>
      <c r="L23" s="1223">
        <f t="shared" si="0"/>
        <v>14586</v>
      </c>
      <c r="M23" s="1223">
        <f t="shared" si="0"/>
        <v>14586</v>
      </c>
      <c r="N23" s="25"/>
      <c r="O23" s="164"/>
    </row>
    <row r="24" spans="1:15" x14ac:dyDescent="0.2">
      <c r="A24" s="164"/>
      <c r="B24" s="21"/>
      <c r="C24" s="34"/>
      <c r="D24" s="187" t="s">
        <v>351</v>
      </c>
      <c r="E24" s="187"/>
      <c r="F24" s="841"/>
      <c r="G24" s="1224">
        <f t="shared" ref="G24:L24" si="1">SUM(G21:G23)</f>
        <v>16174</v>
      </c>
      <c r="H24" s="1224">
        <f t="shared" si="1"/>
        <v>15330</v>
      </c>
      <c r="I24" s="1224">
        <f t="shared" si="1"/>
        <v>15042</v>
      </c>
      <c r="J24" s="1224">
        <f t="shared" si="1"/>
        <v>15042</v>
      </c>
      <c r="K24" s="1224">
        <f t="shared" si="1"/>
        <v>15042</v>
      </c>
      <c r="L24" s="1224">
        <f t="shared" si="1"/>
        <v>15042</v>
      </c>
      <c r="M24" s="1224">
        <f>SUM(M21:M23)</f>
        <v>15042</v>
      </c>
      <c r="N24" s="25"/>
      <c r="O24" s="164"/>
    </row>
    <row r="25" spans="1:15" x14ac:dyDescent="0.2">
      <c r="A25" s="164"/>
      <c r="B25" s="840"/>
      <c r="C25" s="34"/>
      <c r="D25" s="187"/>
      <c r="E25" s="34"/>
      <c r="F25" s="937"/>
      <c r="G25" s="937"/>
      <c r="H25" s="937"/>
      <c r="I25" s="937"/>
      <c r="J25" s="937"/>
      <c r="K25" s="937"/>
      <c r="L25" s="937"/>
      <c r="M25" s="937"/>
      <c r="N25" s="25"/>
      <c r="O25" s="164"/>
    </row>
    <row r="26" spans="1:15" x14ac:dyDescent="0.2">
      <c r="A26" s="164"/>
      <c r="B26" s="840"/>
      <c r="C26" s="34"/>
      <c r="D26" s="187" t="s">
        <v>963</v>
      </c>
      <c r="E26" s="34"/>
      <c r="F26" s="937"/>
      <c r="G26" s="1575">
        <v>40</v>
      </c>
      <c r="H26" s="118">
        <v>72</v>
      </c>
      <c r="I26" s="118">
        <v>20</v>
      </c>
      <c r="J26" s="118">
        <v>20</v>
      </c>
      <c r="K26" s="118">
        <v>20</v>
      </c>
      <c r="L26" s="118">
        <v>20</v>
      </c>
      <c r="M26" s="118">
        <v>20</v>
      </c>
      <c r="N26" s="25"/>
      <c r="O26" s="164"/>
    </row>
    <row r="27" spans="1:15" x14ac:dyDescent="0.2">
      <c r="A27" s="164"/>
      <c r="B27" s="840"/>
      <c r="C27" s="34"/>
      <c r="D27" s="187" t="s">
        <v>964</v>
      </c>
      <c r="E27" s="34"/>
      <c r="F27" s="937"/>
      <c r="G27" s="1575">
        <v>94</v>
      </c>
      <c r="H27" s="118">
        <v>65</v>
      </c>
      <c r="I27" s="118">
        <v>59</v>
      </c>
      <c r="J27" s="118">
        <v>59</v>
      </c>
      <c r="K27" s="118">
        <v>59</v>
      </c>
      <c r="L27" s="118">
        <v>59</v>
      </c>
      <c r="M27" s="118">
        <v>59</v>
      </c>
      <c r="N27" s="25"/>
      <c r="O27" s="164"/>
    </row>
    <row r="28" spans="1:15" x14ac:dyDescent="0.2">
      <c r="A28" s="164"/>
      <c r="B28" s="840"/>
      <c r="C28" s="34"/>
      <c r="D28" s="187"/>
      <c r="E28" s="34"/>
      <c r="F28" s="937"/>
      <c r="G28" s="937"/>
      <c r="H28" s="937"/>
      <c r="I28" s="937"/>
      <c r="J28" s="937"/>
      <c r="K28" s="937"/>
      <c r="L28" s="937"/>
      <c r="M28" s="937"/>
      <c r="N28" s="25"/>
      <c r="O28" s="164"/>
    </row>
    <row r="29" spans="1:15" x14ac:dyDescent="0.2">
      <c r="A29" s="164"/>
      <c r="B29" s="840"/>
      <c r="C29" s="34"/>
      <c r="D29" s="187"/>
      <c r="E29" s="34"/>
      <c r="F29" s="937"/>
      <c r="G29" s="937"/>
      <c r="H29" s="937"/>
      <c r="I29" s="937"/>
      <c r="J29" s="937"/>
      <c r="K29" s="937"/>
      <c r="L29" s="937"/>
      <c r="M29" s="937"/>
      <c r="N29" s="25"/>
      <c r="O29" s="164"/>
    </row>
    <row r="30" spans="1:15" x14ac:dyDescent="0.2">
      <c r="A30" s="164"/>
      <c r="B30" s="840"/>
      <c r="C30" s="34"/>
      <c r="D30" s="187" t="s">
        <v>863</v>
      </c>
      <c r="E30" s="34"/>
      <c r="F30" s="937"/>
      <c r="G30" s="937"/>
      <c r="H30" s="937"/>
      <c r="I30" s="937"/>
      <c r="J30" s="937"/>
      <c r="K30" s="937"/>
      <c r="L30" s="937"/>
      <c r="M30" s="937"/>
      <c r="N30" s="25"/>
      <c r="O30" s="164"/>
    </row>
    <row r="31" spans="1:15" x14ac:dyDescent="0.2">
      <c r="A31" s="164"/>
      <c r="B31" s="840"/>
      <c r="C31" s="34"/>
      <c r="D31" s="187" t="s">
        <v>350</v>
      </c>
      <c r="E31" s="1223">
        <v>1808.5</v>
      </c>
      <c r="F31" s="187"/>
      <c r="G31" s="937"/>
      <c r="H31" s="937"/>
      <c r="I31" s="937"/>
      <c r="J31" s="937"/>
      <c r="K31" s="937"/>
      <c r="L31" s="937"/>
      <c r="M31" s="937"/>
      <c r="N31" s="25"/>
      <c r="O31" s="164"/>
    </row>
    <row r="32" spans="1:15" x14ac:dyDescent="0.2">
      <c r="A32" s="164"/>
      <c r="B32" s="840"/>
      <c r="C32" s="34"/>
      <c r="D32" s="187" t="s">
        <v>352</v>
      </c>
      <c r="E32" s="1223">
        <v>400</v>
      </c>
      <c r="F32" s="187"/>
      <c r="G32" s="937"/>
      <c r="H32" s="937"/>
      <c r="I32" s="937"/>
      <c r="J32" s="937"/>
      <c r="K32" s="937"/>
      <c r="L32" s="937"/>
      <c r="M32" s="937"/>
      <c r="N32" s="25"/>
      <c r="O32" s="164"/>
    </row>
    <row r="33" spans="1:15" x14ac:dyDescent="0.2">
      <c r="A33" s="164"/>
      <c r="B33" s="840"/>
      <c r="C33" s="34"/>
      <c r="D33" s="187" t="s">
        <v>351</v>
      </c>
      <c r="E33" s="1244">
        <v>15188.5</v>
      </c>
      <c r="F33" s="187"/>
      <c r="G33" s="937"/>
      <c r="H33" s="937"/>
      <c r="I33" s="937"/>
      <c r="J33" s="937"/>
      <c r="K33" s="937"/>
      <c r="L33" s="937"/>
      <c r="M33" s="937"/>
      <c r="N33" s="25"/>
      <c r="O33" s="164"/>
    </row>
    <row r="34" spans="1:15" x14ac:dyDescent="0.2">
      <c r="A34" s="164"/>
      <c r="B34" s="840"/>
      <c r="C34" s="34"/>
      <c r="D34" s="187"/>
      <c r="E34" s="34"/>
      <c r="F34" s="937"/>
      <c r="G34" s="937"/>
      <c r="H34" s="937"/>
      <c r="I34" s="937"/>
      <c r="J34" s="937"/>
      <c r="K34" s="937"/>
      <c r="L34" s="937"/>
      <c r="M34" s="937"/>
      <c r="N34" s="25"/>
      <c r="O34" s="164"/>
    </row>
    <row r="35" spans="1:15" x14ac:dyDescent="0.2">
      <c r="A35" s="164"/>
      <c r="B35" s="21"/>
      <c r="C35" s="34"/>
      <c r="D35" s="187" t="s">
        <v>788</v>
      </c>
      <c r="E35" s="1351">
        <f>IF(E33=0,0,E31/E$33)</f>
        <v>0.11907034927741383</v>
      </c>
      <c r="F35" s="841"/>
      <c r="G35" s="1330">
        <f>$E35*G23</f>
        <v>1833.8024492214504</v>
      </c>
      <c r="H35" s="1330">
        <f t="shared" ref="H35:M35" si="2">$E35*H23</f>
        <v>1771.8858675971953</v>
      </c>
      <c r="I35" s="1330">
        <f t="shared" si="2"/>
        <v>1736.7601145603583</v>
      </c>
      <c r="J35" s="1330">
        <f t="shared" si="2"/>
        <v>1736.7601145603583</v>
      </c>
      <c r="K35" s="1330">
        <f t="shared" si="2"/>
        <v>1736.7601145603583</v>
      </c>
      <c r="L35" s="1330">
        <f t="shared" si="2"/>
        <v>1736.7601145603583</v>
      </c>
      <c r="M35" s="1330">
        <f t="shared" si="2"/>
        <v>1736.7601145603583</v>
      </c>
      <c r="N35" s="25"/>
      <c r="O35" s="164"/>
    </row>
    <row r="36" spans="1:15" x14ac:dyDescent="0.2">
      <c r="A36" s="164"/>
      <c r="B36" s="840"/>
      <c r="C36" s="6"/>
      <c r="D36" s="187" t="s">
        <v>789</v>
      </c>
      <c r="E36" s="1352">
        <f>IF(E33=0,0,E32/E$33)</f>
        <v>2.6335714520854595E-2</v>
      </c>
      <c r="F36" s="841"/>
      <c r="G36" s="1330">
        <f>$E36*G23</f>
        <v>405.59633933568165</v>
      </c>
      <c r="H36" s="1330">
        <f t="shared" ref="H36:M36" si="3">$E36*H23</f>
        <v>391.9017677848372</v>
      </c>
      <c r="I36" s="1330">
        <f t="shared" si="3"/>
        <v>384.1327320011851</v>
      </c>
      <c r="J36" s="1330">
        <f t="shared" si="3"/>
        <v>384.1327320011851</v>
      </c>
      <c r="K36" s="1330">
        <f t="shared" si="3"/>
        <v>384.1327320011851</v>
      </c>
      <c r="L36" s="1330">
        <f t="shared" si="3"/>
        <v>384.1327320011851</v>
      </c>
      <c r="M36" s="1330">
        <f t="shared" si="3"/>
        <v>384.1327320011851</v>
      </c>
      <c r="N36" s="819"/>
      <c r="O36" s="164"/>
    </row>
    <row r="37" spans="1:15" x14ac:dyDescent="0.2">
      <c r="A37" s="164"/>
      <c r="B37" s="840"/>
      <c r="C37" s="6"/>
      <c r="D37" s="6"/>
      <c r="E37" s="6"/>
      <c r="F37" s="165"/>
      <c r="G37" s="165"/>
      <c r="H37" s="165"/>
      <c r="I37" s="165"/>
      <c r="J37" s="165"/>
      <c r="K37" s="165"/>
      <c r="L37" s="165"/>
      <c r="M37" s="165"/>
      <c r="N37" s="819"/>
      <c r="O37" s="164"/>
    </row>
    <row r="38" spans="1:15" x14ac:dyDescent="0.2">
      <c r="A38" s="164"/>
      <c r="B38" s="21"/>
      <c r="C38" s="178"/>
      <c r="D38" s="178"/>
      <c r="E38" s="178"/>
      <c r="F38" s="179"/>
      <c r="G38" s="179"/>
      <c r="H38" s="179"/>
      <c r="I38" s="179"/>
      <c r="J38" s="179"/>
      <c r="K38" s="179"/>
      <c r="L38" s="179"/>
      <c r="M38" s="179"/>
      <c r="N38" s="25"/>
      <c r="O38" s="164"/>
    </row>
    <row r="39" spans="1:15" x14ac:dyDescent="0.2">
      <c r="A39" s="164"/>
      <c r="B39" s="21"/>
      <c r="C39" s="187"/>
      <c r="D39" s="187"/>
      <c r="E39" s="70"/>
      <c r="F39" s="614"/>
      <c r="G39" s="614"/>
      <c r="H39" s="614"/>
      <c r="I39" s="614"/>
      <c r="J39" s="614"/>
      <c r="K39" s="614"/>
      <c r="L39" s="614"/>
      <c r="M39" s="614"/>
      <c r="N39" s="25"/>
      <c r="O39" s="164"/>
    </row>
    <row r="40" spans="1:15" x14ac:dyDescent="0.2">
      <c r="A40" s="164"/>
      <c r="B40" s="21"/>
      <c r="C40" s="187"/>
      <c r="D40" s="195" t="s">
        <v>453</v>
      </c>
      <c r="E40" s="91"/>
      <c r="F40" s="614"/>
      <c r="G40" s="614"/>
      <c r="H40" s="614"/>
      <c r="I40" s="614"/>
      <c r="J40" s="614"/>
      <c r="K40" s="614"/>
      <c r="L40" s="614"/>
      <c r="M40" s="614"/>
      <c r="N40" s="25"/>
      <c r="O40" s="164"/>
    </row>
    <row r="41" spans="1:15" x14ac:dyDescent="0.2">
      <c r="A41" s="164"/>
      <c r="B41" s="21"/>
      <c r="C41" s="195"/>
      <c r="D41" s="187" t="s">
        <v>350</v>
      </c>
      <c r="E41" s="91"/>
      <c r="F41" s="841"/>
      <c r="G41" s="836">
        <f t="shared" ref="G41:M42" si="4">IF(G$24=0,0,+G21/G$24)</f>
        <v>2.1268702856436256E-2</v>
      </c>
      <c r="H41" s="836">
        <f t="shared" si="4"/>
        <v>1.8264840182648401E-3</v>
      </c>
      <c r="I41" s="836">
        <f t="shared" si="4"/>
        <v>0</v>
      </c>
      <c r="J41" s="836">
        <f t="shared" si="4"/>
        <v>0</v>
      </c>
      <c r="K41" s="836">
        <f t="shared" si="4"/>
        <v>0</v>
      </c>
      <c r="L41" s="836">
        <f t="shared" si="4"/>
        <v>0</v>
      </c>
      <c r="M41" s="836">
        <f t="shared" si="4"/>
        <v>0</v>
      </c>
      <c r="N41" s="25"/>
      <c r="O41" s="164"/>
    </row>
    <row r="42" spans="1:15" x14ac:dyDescent="0.2">
      <c r="A42" s="164"/>
      <c r="B42" s="21"/>
      <c r="C42" s="195"/>
      <c r="D42" s="187" t="s">
        <v>352</v>
      </c>
      <c r="E42" s="91"/>
      <c r="F42" s="841"/>
      <c r="G42" s="836">
        <f t="shared" si="4"/>
        <v>2.6524050945962656E-2</v>
      </c>
      <c r="H42" s="836">
        <f t="shared" si="4"/>
        <v>2.746249184605349E-2</v>
      </c>
      <c r="I42" s="836">
        <f t="shared" si="4"/>
        <v>3.0315117670522536E-2</v>
      </c>
      <c r="J42" s="836">
        <f t="shared" si="4"/>
        <v>3.0315117670522536E-2</v>
      </c>
      <c r="K42" s="836">
        <f t="shared" si="4"/>
        <v>3.0315117670522536E-2</v>
      </c>
      <c r="L42" s="836">
        <f t="shared" si="4"/>
        <v>3.0315117670522536E-2</v>
      </c>
      <c r="M42" s="836">
        <f t="shared" si="4"/>
        <v>3.0315117670522536E-2</v>
      </c>
      <c r="N42" s="25"/>
      <c r="O42" s="164"/>
    </row>
    <row r="43" spans="1:15" x14ac:dyDescent="0.2">
      <c r="A43" s="164"/>
      <c r="B43" s="21"/>
      <c r="C43" s="187"/>
      <c r="D43" s="187"/>
      <c r="E43" s="70"/>
      <c r="F43" s="673"/>
      <c r="G43" s="673"/>
      <c r="H43" s="673"/>
      <c r="I43" s="673"/>
      <c r="J43" s="673"/>
      <c r="K43" s="673"/>
      <c r="L43" s="1349"/>
      <c r="M43" s="1349"/>
      <c r="N43" s="25"/>
      <c r="O43" s="164"/>
    </row>
    <row r="44" spans="1:15" x14ac:dyDescent="0.2">
      <c r="A44" s="164"/>
      <c r="B44" s="21"/>
      <c r="C44" s="187"/>
      <c r="D44" s="195" t="s">
        <v>462</v>
      </c>
      <c r="E44" s="91"/>
      <c r="F44" s="614"/>
      <c r="G44" s="614"/>
      <c r="H44" s="614"/>
      <c r="I44" s="614"/>
      <c r="J44" s="614"/>
      <c r="K44" s="614"/>
      <c r="L44" s="614"/>
      <c r="M44" s="614"/>
      <c r="N44" s="25"/>
      <c r="O44" s="164"/>
    </row>
    <row r="45" spans="1:15" x14ac:dyDescent="0.2">
      <c r="A45" s="164"/>
      <c r="B45" s="21"/>
      <c r="C45" s="195"/>
      <c r="D45" s="187" t="s">
        <v>929</v>
      </c>
      <c r="E45" s="91"/>
      <c r="F45" s="841"/>
      <c r="G45" s="1531">
        <v>9.4500000000000001E-2</v>
      </c>
      <c r="H45" s="1533">
        <v>8.2900000000000001E-2</v>
      </c>
      <c r="I45" s="1532">
        <v>0</v>
      </c>
      <c r="J45" s="1532">
        <v>0</v>
      </c>
      <c r="K45" s="1532">
        <v>0</v>
      </c>
      <c r="L45" s="1532">
        <v>0</v>
      </c>
      <c r="M45" s="1532">
        <v>0</v>
      </c>
      <c r="N45" s="25"/>
      <c r="O45" s="164"/>
    </row>
    <row r="46" spans="1:15" x14ac:dyDescent="0.2">
      <c r="A46" s="164"/>
      <c r="B46" s="21"/>
      <c r="C46" s="187"/>
      <c r="D46" s="187"/>
      <c r="E46" s="70"/>
      <c r="F46" s="673"/>
      <c r="G46" s="673"/>
      <c r="H46" s="673"/>
      <c r="I46" s="673"/>
      <c r="J46" s="673"/>
      <c r="K46" s="673"/>
      <c r="L46" s="673"/>
      <c r="M46" s="673"/>
      <c r="N46" s="25"/>
      <c r="O46" s="164"/>
    </row>
    <row r="47" spans="1:15" x14ac:dyDescent="0.2">
      <c r="B47" s="75"/>
      <c r="C47" s="76"/>
      <c r="D47" s="56"/>
      <c r="E47" s="56"/>
      <c r="F47" s="125"/>
      <c r="G47" s="69"/>
      <c r="H47" s="69"/>
      <c r="I47" s="69"/>
      <c r="J47" s="69"/>
      <c r="K47" s="69"/>
      <c r="L47" s="76"/>
      <c r="M47" s="76"/>
      <c r="N47" s="77"/>
      <c r="O47" s="190"/>
    </row>
    <row r="48" spans="1:15" hidden="1" x14ac:dyDescent="0.2">
      <c r="B48" s="75"/>
      <c r="C48" s="187"/>
      <c r="D48" s="195"/>
      <c r="E48" s="195"/>
      <c r="F48" s="197"/>
      <c r="G48" s="70"/>
      <c r="H48" s="70"/>
      <c r="I48" s="70"/>
      <c r="J48" s="70"/>
      <c r="K48" s="70"/>
      <c r="L48" s="187"/>
      <c r="M48" s="187"/>
      <c r="N48" s="77"/>
      <c r="O48" s="190"/>
    </row>
    <row r="49" spans="2:15" hidden="1" x14ac:dyDescent="0.2">
      <c r="B49" s="75"/>
      <c r="C49" s="187"/>
      <c r="D49" s="431" t="s">
        <v>826</v>
      </c>
      <c r="E49" s="578"/>
      <c r="F49" s="197"/>
      <c r="G49" s="70"/>
      <c r="H49" s="70"/>
      <c r="I49" s="70"/>
      <c r="J49" s="70"/>
      <c r="K49" s="70"/>
      <c r="L49" s="187"/>
      <c r="M49" s="187"/>
      <c r="N49" s="77"/>
      <c r="O49" s="190"/>
    </row>
    <row r="50" spans="2:15" hidden="1" x14ac:dyDescent="0.2">
      <c r="B50" s="75"/>
      <c r="C50" s="187"/>
      <c r="D50" s="197"/>
      <c r="E50" s="197"/>
      <c r="F50" s="197"/>
      <c r="G50" s="492" t="s">
        <v>773</v>
      </c>
      <c r="H50" s="792">
        <v>2015</v>
      </c>
      <c r="I50" s="149"/>
      <c r="J50" s="70"/>
      <c r="K50" s="70"/>
      <c r="L50" s="187"/>
      <c r="M50" s="187"/>
      <c r="N50" s="77"/>
      <c r="O50" s="190"/>
    </row>
    <row r="51" spans="2:15" hidden="1" x14ac:dyDescent="0.2">
      <c r="B51" s="75"/>
      <c r="C51" s="187"/>
      <c r="D51" s="472" t="s">
        <v>824</v>
      </c>
      <c r="E51" s="183"/>
      <c r="F51" s="183"/>
      <c r="G51" s="1529">
        <v>1779145.57</v>
      </c>
      <c r="H51" s="1333"/>
      <c r="I51" s="828"/>
      <c r="J51" s="196"/>
      <c r="K51" s="196"/>
      <c r="L51" s="187"/>
      <c r="M51" s="187"/>
      <c r="N51" s="77"/>
      <c r="O51" s="190"/>
    </row>
    <row r="52" spans="2:15" hidden="1" x14ac:dyDescent="0.2">
      <c r="B52" s="75"/>
      <c r="C52" s="187"/>
      <c r="D52" s="472" t="s">
        <v>825</v>
      </c>
      <c r="E52" s="183"/>
      <c r="F52" s="183"/>
      <c r="G52" s="1334"/>
      <c r="H52" s="1530">
        <v>102913.81</v>
      </c>
      <c r="I52" s="829"/>
      <c r="J52" s="196"/>
      <c r="K52" s="196"/>
      <c r="L52" s="187"/>
      <c r="M52" s="187"/>
      <c r="N52" s="816"/>
      <c r="O52" s="190"/>
    </row>
    <row r="53" spans="2:15" hidden="1" x14ac:dyDescent="0.2">
      <c r="B53" s="75"/>
      <c r="C53" s="187"/>
      <c r="D53" s="187"/>
      <c r="E53" s="187"/>
      <c r="F53" s="70"/>
      <c r="G53" s="493"/>
      <c r="H53" s="187"/>
      <c r="I53" s="187"/>
      <c r="J53" s="187"/>
      <c r="K53" s="187"/>
      <c r="L53" s="187"/>
      <c r="M53" s="187"/>
      <c r="N53" s="77"/>
      <c r="O53" s="190"/>
    </row>
    <row r="54" spans="2:15" ht="15" hidden="1" x14ac:dyDescent="0.25">
      <c r="B54" s="75"/>
      <c r="C54" s="853"/>
      <c r="D54" s="56"/>
      <c r="E54" s="56"/>
      <c r="F54" s="125"/>
      <c r="G54" s="69"/>
      <c r="H54" s="69"/>
      <c r="I54" s="69"/>
      <c r="J54" s="69"/>
      <c r="K54" s="69"/>
      <c r="L54" s="76"/>
      <c r="M54" s="76"/>
      <c r="N54" s="77"/>
      <c r="O54" s="190"/>
    </row>
    <row r="55" spans="2:15" ht="15" x14ac:dyDescent="0.25">
      <c r="B55" s="75"/>
      <c r="C55" s="1355"/>
      <c r="D55" s="1355"/>
      <c r="E55" s="1261"/>
      <c r="F55" s="1019"/>
      <c r="G55" s="792"/>
      <c r="H55" s="792"/>
      <c r="I55" s="792"/>
      <c r="J55" s="792"/>
      <c r="K55" s="792"/>
      <c r="L55" s="682"/>
      <c r="M55" s="682"/>
      <c r="N55" s="77"/>
      <c r="O55" s="190"/>
    </row>
    <row r="56" spans="2:15" ht="15.75" x14ac:dyDescent="0.25">
      <c r="B56" s="75"/>
      <c r="C56" s="187"/>
      <c r="D56" s="1001"/>
      <c r="E56" s="567"/>
      <c r="F56" s="206"/>
      <c r="G56" s="1356">
        <f t="shared" ref="G56:M57" si="5">G15</f>
        <v>2019</v>
      </c>
      <c r="H56" s="1356">
        <f t="shared" si="5"/>
        <v>2020</v>
      </c>
      <c r="I56" s="1356">
        <f t="shared" si="5"/>
        <v>2021</v>
      </c>
      <c r="J56" s="1356">
        <f t="shared" si="5"/>
        <v>2022</v>
      </c>
      <c r="K56" s="1356">
        <f t="shared" si="5"/>
        <v>2023</v>
      </c>
      <c r="L56" s="1356">
        <f t="shared" si="5"/>
        <v>2024</v>
      </c>
      <c r="M56" s="1356">
        <f t="shared" si="5"/>
        <v>2025</v>
      </c>
      <c r="N56" s="77"/>
      <c r="O56" s="190"/>
    </row>
    <row r="57" spans="2:15" x14ac:dyDescent="0.2">
      <c r="B57" s="75"/>
      <c r="C57" s="187"/>
      <c r="D57" s="187"/>
      <c r="E57" s="187"/>
      <c r="F57" s="70"/>
      <c r="G57" s="1357">
        <f t="shared" si="5"/>
        <v>2018</v>
      </c>
      <c r="H57" s="1357">
        <f t="shared" si="5"/>
        <v>2019</v>
      </c>
      <c r="I57" s="1357">
        <f t="shared" si="5"/>
        <v>2020</v>
      </c>
      <c r="J57" s="1357">
        <f t="shared" si="5"/>
        <v>2021</v>
      </c>
      <c r="K57" s="1357">
        <f t="shared" si="5"/>
        <v>2022</v>
      </c>
      <c r="L57" s="1357">
        <f t="shared" si="5"/>
        <v>2023</v>
      </c>
      <c r="M57" s="1357">
        <f t="shared" si="5"/>
        <v>2024</v>
      </c>
      <c r="N57" s="77"/>
      <c r="O57" s="190"/>
    </row>
    <row r="58" spans="2:15" x14ac:dyDescent="0.2">
      <c r="B58" s="75"/>
      <c r="C58" s="187"/>
      <c r="D58" s="187" t="s">
        <v>350</v>
      </c>
      <c r="E58" s="187"/>
      <c r="F58" s="70"/>
      <c r="G58" s="1331">
        <f t="shared" ref="G58:M60" si="6">G21</f>
        <v>344</v>
      </c>
      <c r="H58" s="1331">
        <f t="shared" si="6"/>
        <v>28</v>
      </c>
      <c r="I58" s="1331">
        <f t="shared" si="6"/>
        <v>0</v>
      </c>
      <c r="J58" s="1331">
        <f t="shared" si="6"/>
        <v>0</v>
      </c>
      <c r="K58" s="1331">
        <f t="shared" si="6"/>
        <v>0</v>
      </c>
      <c r="L58" s="1331">
        <f t="shared" si="6"/>
        <v>0</v>
      </c>
      <c r="M58" s="1331">
        <f t="shared" si="6"/>
        <v>0</v>
      </c>
      <c r="N58" s="77"/>
      <c r="O58" s="190"/>
    </row>
    <row r="59" spans="2:15" x14ac:dyDescent="0.2">
      <c r="B59" s="75"/>
      <c r="C59" s="187"/>
      <c r="D59" s="187" t="s">
        <v>352</v>
      </c>
      <c r="E59" s="187"/>
      <c r="F59" s="70"/>
      <c r="G59" s="1331">
        <f t="shared" si="6"/>
        <v>429</v>
      </c>
      <c r="H59" s="1331">
        <f t="shared" si="6"/>
        <v>421</v>
      </c>
      <c r="I59" s="1331">
        <f t="shared" si="6"/>
        <v>456</v>
      </c>
      <c r="J59" s="1331">
        <f t="shared" si="6"/>
        <v>456</v>
      </c>
      <c r="K59" s="1331">
        <f t="shared" si="6"/>
        <v>456</v>
      </c>
      <c r="L59" s="1331">
        <f t="shared" si="6"/>
        <v>456</v>
      </c>
      <c r="M59" s="1331">
        <f t="shared" si="6"/>
        <v>456</v>
      </c>
      <c r="N59" s="77"/>
      <c r="O59" s="190"/>
    </row>
    <row r="60" spans="2:15" x14ac:dyDescent="0.2">
      <c r="B60" s="75"/>
      <c r="C60" s="187"/>
      <c r="D60" s="187" t="s">
        <v>353</v>
      </c>
      <c r="E60" s="187"/>
      <c r="F60" s="70"/>
      <c r="G60" s="1331">
        <f t="shared" si="6"/>
        <v>15401</v>
      </c>
      <c r="H60" s="1331">
        <f t="shared" si="6"/>
        <v>14881</v>
      </c>
      <c r="I60" s="1331">
        <f t="shared" si="6"/>
        <v>14586</v>
      </c>
      <c r="J60" s="1331">
        <f t="shared" si="6"/>
        <v>14586</v>
      </c>
      <c r="K60" s="1331">
        <f t="shared" si="6"/>
        <v>14586</v>
      </c>
      <c r="L60" s="1331">
        <f t="shared" si="6"/>
        <v>14586</v>
      </c>
      <c r="M60" s="1331">
        <f t="shared" si="6"/>
        <v>14586</v>
      </c>
      <c r="N60" s="77"/>
      <c r="O60" s="190"/>
    </row>
    <row r="61" spans="2:15" x14ac:dyDescent="0.2">
      <c r="B61" s="75"/>
      <c r="C61" s="187"/>
      <c r="D61" s="187" t="s">
        <v>351</v>
      </c>
      <c r="E61" s="187"/>
      <c r="F61" s="70"/>
      <c r="G61" s="1332">
        <f t="shared" ref="G61:L61" si="7">SUM(G58:G60)</f>
        <v>16174</v>
      </c>
      <c r="H61" s="1332">
        <f t="shared" si="7"/>
        <v>15330</v>
      </c>
      <c r="I61" s="1332">
        <f t="shared" si="7"/>
        <v>15042</v>
      </c>
      <c r="J61" s="1332">
        <f t="shared" si="7"/>
        <v>15042</v>
      </c>
      <c r="K61" s="1332">
        <f t="shared" si="7"/>
        <v>15042</v>
      </c>
      <c r="L61" s="1332">
        <f t="shared" si="7"/>
        <v>15042</v>
      </c>
      <c r="M61" s="1332">
        <f>SUM(M58:M60)</f>
        <v>15042</v>
      </c>
      <c r="N61" s="77"/>
      <c r="O61" s="190"/>
    </row>
    <row r="62" spans="2:15" x14ac:dyDescent="0.2">
      <c r="B62" s="75"/>
      <c r="C62" s="109"/>
      <c r="D62" s="109"/>
      <c r="E62" s="109"/>
      <c r="F62" s="112"/>
      <c r="G62" s="614"/>
      <c r="H62" s="614"/>
      <c r="I62" s="614"/>
      <c r="J62" s="614"/>
      <c r="K62" s="614"/>
      <c r="L62" s="614"/>
      <c r="M62" s="614"/>
      <c r="N62" s="77"/>
      <c r="O62" s="190"/>
    </row>
    <row r="63" spans="2:15" x14ac:dyDescent="0.2">
      <c r="B63" s="75"/>
      <c r="C63" s="76"/>
      <c r="D63" s="76"/>
      <c r="E63" s="76"/>
      <c r="F63" s="69"/>
      <c r="G63" s="69"/>
      <c r="H63" s="69"/>
      <c r="I63" s="69"/>
      <c r="J63" s="69"/>
      <c r="K63" s="69"/>
      <c r="L63" s="69"/>
      <c r="M63" s="69"/>
      <c r="N63" s="77"/>
      <c r="O63" s="190"/>
    </row>
    <row r="64" spans="2:15" x14ac:dyDescent="0.2">
      <c r="B64" s="75"/>
      <c r="C64" s="485"/>
      <c r="D64" s="485"/>
      <c r="E64" s="485"/>
      <c r="F64" s="78"/>
      <c r="G64" s="78"/>
      <c r="H64" s="78"/>
      <c r="I64" s="78"/>
      <c r="J64" s="78"/>
      <c r="K64" s="78"/>
      <c r="L64" s="78"/>
      <c r="M64" s="78"/>
      <c r="N64" s="77"/>
      <c r="O64" s="190"/>
    </row>
    <row r="65" spans="2:18" ht="15.75" x14ac:dyDescent="0.25">
      <c r="B65" s="75"/>
      <c r="C65" s="485"/>
      <c r="D65" s="1355" t="s">
        <v>930</v>
      </c>
      <c r="E65" s="485"/>
      <c r="F65" s="78"/>
      <c r="G65" s="78"/>
      <c r="H65" s="1467" t="s">
        <v>858</v>
      </c>
      <c r="I65" s="1001" t="s">
        <v>804</v>
      </c>
      <c r="J65" s="78"/>
      <c r="K65" s="78"/>
      <c r="L65" s="78"/>
      <c r="M65" s="78"/>
      <c r="N65" s="77"/>
      <c r="O65" s="190"/>
    </row>
    <row r="66" spans="2:18" x14ac:dyDescent="0.2">
      <c r="B66" s="75"/>
      <c r="C66" s="187"/>
      <c r="D66" s="185" t="s">
        <v>356</v>
      </c>
      <c r="E66" s="185"/>
      <c r="F66" s="70">
        <v>1</v>
      </c>
      <c r="G66" s="510">
        <f t="shared" ref="G66:L68" si="8">+G99+G103+G107+G111+G115+G119+G123+G127+G131+G135+G139+G143+G147+G151+G155+G159+G163+G167+G171+G175+G179+G183+G187+G191+G195+G199+G203+G207+G211+G215+G219+G223+G227+G231+G235</f>
        <v>409</v>
      </c>
      <c r="H66" s="510">
        <f t="shared" si="8"/>
        <v>437</v>
      </c>
      <c r="I66" s="510">
        <f t="shared" si="8"/>
        <v>423</v>
      </c>
      <c r="J66" s="510">
        <f t="shared" si="8"/>
        <v>423</v>
      </c>
      <c r="K66" s="510">
        <f t="shared" si="8"/>
        <v>423</v>
      </c>
      <c r="L66" s="510">
        <f t="shared" si="8"/>
        <v>423</v>
      </c>
      <c r="M66" s="510">
        <f>+M99+M103+M107+M111+M115+M119+M123+M127+M131+M135+M139+M143+M147+M151+M155+M159+M163+M167+M171+M175+M179+M183+M187+M191+M195+M199+M203+M207+M211+M215+M219+M223+M227+M231+M235</f>
        <v>423</v>
      </c>
      <c r="N66" s="77"/>
      <c r="O66" s="190"/>
      <c r="R66" s="1465"/>
    </row>
    <row r="67" spans="2:18" x14ac:dyDescent="0.2">
      <c r="B67" s="75"/>
      <c r="C67" s="187"/>
      <c r="D67" s="1430"/>
      <c r="E67" s="187"/>
      <c r="F67" s="70">
        <v>2</v>
      </c>
      <c r="G67" s="510">
        <f t="shared" si="8"/>
        <v>30</v>
      </c>
      <c r="H67" s="510">
        <f t="shared" si="8"/>
        <v>29</v>
      </c>
      <c r="I67" s="510">
        <f t="shared" si="8"/>
        <v>32</v>
      </c>
      <c r="J67" s="510">
        <f t="shared" si="8"/>
        <v>32</v>
      </c>
      <c r="K67" s="510">
        <f t="shared" si="8"/>
        <v>32</v>
      </c>
      <c r="L67" s="510">
        <f t="shared" si="8"/>
        <v>32</v>
      </c>
      <c r="M67" s="510">
        <f>+M100+M104+M108+M112+M116+M120+M124+M128+M132+M136+M140+M144+M148+M152+M156+M160+M164+M168+M172+M176+M180+M184+M188+M192+M196+M200+M204+M208+M212+M216+M220+M224+M228+M232+M236</f>
        <v>32</v>
      </c>
      <c r="N67" s="77"/>
      <c r="O67" s="190"/>
      <c r="R67" s="1465"/>
    </row>
    <row r="68" spans="2:18" x14ac:dyDescent="0.2">
      <c r="B68" s="75"/>
      <c r="C68" s="187"/>
      <c r="D68" s="187"/>
      <c r="E68" s="187"/>
      <c r="F68" s="70">
        <v>3</v>
      </c>
      <c r="G68" s="510">
        <f t="shared" si="8"/>
        <v>46</v>
      </c>
      <c r="H68" s="510">
        <f t="shared" si="8"/>
        <v>44</v>
      </c>
      <c r="I68" s="510">
        <f t="shared" si="8"/>
        <v>40</v>
      </c>
      <c r="J68" s="510">
        <f t="shared" si="8"/>
        <v>40</v>
      </c>
      <c r="K68" s="510">
        <f t="shared" si="8"/>
        <v>40</v>
      </c>
      <c r="L68" s="510">
        <f t="shared" si="8"/>
        <v>40</v>
      </c>
      <c r="M68" s="510">
        <f>+M101+M105+M109+M113+M117+M121+M125+M129+M133+M137+M141+M145+M149+M153+M157+M161+M165+M169+M173+M177+M181+M185+M189+M193+M197+M201+M205+M209+M213+M217+M221+M225+M229+M233+M237</f>
        <v>40</v>
      </c>
      <c r="N68" s="77"/>
      <c r="O68" s="190"/>
      <c r="R68" s="1465"/>
    </row>
    <row r="69" spans="2:18" x14ac:dyDescent="0.2">
      <c r="B69" s="75"/>
      <c r="C69" s="187"/>
      <c r="D69" s="187"/>
      <c r="E69" s="187"/>
      <c r="F69" s="70"/>
      <c r="G69" s="564">
        <f t="shared" ref="G69:L69" si="9">SUM(G66:G68)</f>
        <v>485</v>
      </c>
      <c r="H69" s="564">
        <f t="shared" si="9"/>
        <v>510</v>
      </c>
      <c r="I69" s="564">
        <f t="shared" si="9"/>
        <v>495</v>
      </c>
      <c r="J69" s="564">
        <f t="shared" si="9"/>
        <v>495</v>
      </c>
      <c r="K69" s="564">
        <f t="shared" si="9"/>
        <v>495</v>
      </c>
      <c r="L69" s="564">
        <f t="shared" si="9"/>
        <v>495</v>
      </c>
      <c r="M69" s="564">
        <f>SUM(M66:M68)</f>
        <v>495</v>
      </c>
      <c r="N69" s="77"/>
      <c r="O69" s="190"/>
      <c r="R69" s="1465"/>
    </row>
    <row r="70" spans="2:18" x14ac:dyDescent="0.2">
      <c r="B70" s="75"/>
      <c r="C70" s="187"/>
      <c r="D70" s="187"/>
      <c r="E70" s="187"/>
      <c r="F70" s="70"/>
      <c r="G70" s="70"/>
      <c r="H70" s="70"/>
      <c r="I70" s="70"/>
      <c r="J70" s="70"/>
      <c r="K70" s="70"/>
      <c r="L70" s="70"/>
      <c r="M70" s="70"/>
      <c r="N70" s="77"/>
      <c r="O70" s="190"/>
    </row>
    <row r="71" spans="2:18" x14ac:dyDescent="0.2">
      <c r="B71" s="79"/>
      <c r="C71" s="195"/>
      <c r="D71" s="195" t="s">
        <v>357</v>
      </c>
      <c r="E71" s="195"/>
      <c r="F71" s="70"/>
      <c r="G71" s="565">
        <f>G21+G22+G23+G69</f>
        <v>16659</v>
      </c>
      <c r="H71" s="565">
        <f>H21+H22+H23+H69</f>
        <v>15840</v>
      </c>
      <c r="I71" s="565">
        <f>I21+I22+I23+I69</f>
        <v>15537</v>
      </c>
      <c r="J71" s="565">
        <f>J21+J22+J23+J69</f>
        <v>15537</v>
      </c>
      <c r="K71" s="565">
        <f>K21+K22+K23+K69</f>
        <v>15537</v>
      </c>
      <c r="L71" s="565">
        <f>+L58+L59+L60+L69</f>
        <v>15537</v>
      </c>
      <c r="M71" s="565">
        <f>+M58+M59+M60+M69</f>
        <v>15537</v>
      </c>
      <c r="N71" s="90"/>
      <c r="O71" s="190"/>
    </row>
    <row r="72" spans="2:18" x14ac:dyDescent="0.2">
      <c r="B72" s="75"/>
      <c r="C72" s="187"/>
      <c r="D72" s="187"/>
      <c r="E72" s="187"/>
      <c r="F72" s="70"/>
      <c r="G72" s="70"/>
      <c r="H72" s="70"/>
      <c r="I72" s="70"/>
      <c r="J72" s="70"/>
      <c r="K72" s="70"/>
      <c r="L72" s="70"/>
      <c r="M72" s="70"/>
      <c r="N72" s="77"/>
      <c r="O72" s="190"/>
    </row>
    <row r="73" spans="2:18" x14ac:dyDescent="0.2">
      <c r="B73" s="75"/>
      <c r="C73" s="179"/>
      <c r="D73" s="179"/>
      <c r="E73" s="179"/>
      <c r="F73" s="179"/>
      <c r="G73" s="179"/>
      <c r="H73" s="179"/>
      <c r="I73" s="179"/>
      <c r="J73" s="179"/>
      <c r="K73" s="179"/>
      <c r="L73" s="179"/>
      <c r="M73" s="179"/>
      <c r="N73" s="77"/>
      <c r="O73" s="190"/>
    </row>
    <row r="74" spans="2:18" x14ac:dyDescent="0.2">
      <c r="B74" s="75"/>
      <c r="C74" s="187"/>
      <c r="D74" s="187"/>
      <c r="E74" s="187"/>
      <c r="F74" s="70"/>
      <c r="G74" s="70"/>
      <c r="H74" s="70"/>
      <c r="I74" s="70"/>
      <c r="J74" s="70"/>
      <c r="K74" s="70"/>
      <c r="L74" s="70"/>
      <c r="M74" s="70"/>
      <c r="N74" s="77"/>
      <c r="O74" s="190"/>
    </row>
    <row r="75" spans="2:18" x14ac:dyDescent="0.2">
      <c r="B75" s="75"/>
      <c r="C75" s="187"/>
      <c r="D75" s="567" t="s">
        <v>189</v>
      </c>
      <c r="E75" s="567"/>
      <c r="F75" s="206"/>
      <c r="G75" s="70">
        <f t="shared" ref="G75:M75" si="10">G16</f>
        <v>2018</v>
      </c>
      <c r="H75" s="70">
        <f t="shared" si="10"/>
        <v>2019</v>
      </c>
      <c r="I75" s="70">
        <f t="shared" si="10"/>
        <v>2020</v>
      </c>
      <c r="J75" s="70">
        <f t="shared" si="10"/>
        <v>2021</v>
      </c>
      <c r="K75" s="70">
        <f t="shared" si="10"/>
        <v>2022</v>
      </c>
      <c r="L75" s="70">
        <f t="shared" si="10"/>
        <v>2023</v>
      </c>
      <c r="M75" s="70">
        <f t="shared" si="10"/>
        <v>2024</v>
      </c>
      <c r="N75" s="77"/>
      <c r="O75" s="190"/>
    </row>
    <row r="76" spans="2:18" x14ac:dyDescent="0.2">
      <c r="B76" s="75"/>
      <c r="C76" s="187"/>
      <c r="D76" s="567"/>
      <c r="E76" s="567"/>
      <c r="F76" s="206"/>
      <c r="G76" s="70"/>
      <c r="H76" s="70"/>
      <c r="I76" s="70"/>
      <c r="J76" s="70"/>
      <c r="K76" s="70"/>
      <c r="L76" s="70"/>
      <c r="M76" s="70"/>
      <c r="N76" s="77"/>
      <c r="O76" s="190"/>
    </row>
    <row r="77" spans="2:18" x14ac:dyDescent="0.2">
      <c r="B77" s="75"/>
      <c r="C77" s="187"/>
      <c r="D77" s="187" t="s">
        <v>360</v>
      </c>
      <c r="E77" s="187"/>
      <c r="F77" s="206"/>
      <c r="G77" s="654">
        <f t="shared" ref="G77:H79" si="11">IF(G$61=0,0,+G66/G$61)</f>
        <v>2.5287498454309384E-2</v>
      </c>
      <c r="H77" s="654">
        <f t="shared" si="11"/>
        <v>2.8506196999347685E-2</v>
      </c>
      <c r="I77" s="654">
        <f t="shared" ref="I77:K79" si="12">IF(I$61=0,0,+I66/I$61)</f>
        <v>2.8121260470682089E-2</v>
      </c>
      <c r="J77" s="654">
        <f t="shared" si="12"/>
        <v>2.8121260470682089E-2</v>
      </c>
      <c r="K77" s="654">
        <f t="shared" si="12"/>
        <v>2.8121260470682089E-2</v>
      </c>
      <c r="L77" s="654">
        <f t="shared" ref="L77:M79" si="13">IF(L$61=0,0,+L66/L$61)</f>
        <v>2.8121260470682089E-2</v>
      </c>
      <c r="M77" s="654">
        <f t="shared" si="13"/>
        <v>2.8121260470682089E-2</v>
      </c>
      <c r="N77" s="77"/>
      <c r="O77" s="190"/>
    </row>
    <row r="78" spans="2:18" x14ac:dyDescent="0.2">
      <c r="B78" s="75"/>
      <c r="C78" s="187"/>
      <c r="D78" s="187" t="s">
        <v>361</v>
      </c>
      <c r="E78" s="187"/>
      <c r="F78" s="206"/>
      <c r="G78" s="654">
        <f t="shared" si="11"/>
        <v>1.8548287374799061E-3</v>
      </c>
      <c r="H78" s="654">
        <f t="shared" si="11"/>
        <v>1.8917155903457274E-3</v>
      </c>
      <c r="I78" s="654">
        <f t="shared" si="12"/>
        <v>2.1273766786331604E-3</v>
      </c>
      <c r="J78" s="654">
        <f t="shared" si="12"/>
        <v>2.1273766786331604E-3</v>
      </c>
      <c r="K78" s="654">
        <f t="shared" si="12"/>
        <v>2.1273766786331604E-3</v>
      </c>
      <c r="L78" s="654">
        <f t="shared" si="13"/>
        <v>2.1273766786331604E-3</v>
      </c>
      <c r="M78" s="654">
        <f t="shared" si="13"/>
        <v>2.1273766786331604E-3</v>
      </c>
      <c r="N78" s="77"/>
      <c r="O78" s="190"/>
    </row>
    <row r="79" spans="2:18" x14ac:dyDescent="0.2">
      <c r="B79" s="75"/>
      <c r="C79" s="187"/>
      <c r="D79" s="187" t="s">
        <v>362</v>
      </c>
      <c r="E79" s="187"/>
      <c r="F79" s="207"/>
      <c r="G79" s="654">
        <f t="shared" si="11"/>
        <v>2.8440707308025224E-3</v>
      </c>
      <c r="H79" s="654">
        <f t="shared" si="11"/>
        <v>2.8701891715590348E-3</v>
      </c>
      <c r="I79" s="654">
        <f t="shared" si="12"/>
        <v>2.6592208482914504E-3</v>
      </c>
      <c r="J79" s="654">
        <f t="shared" si="12"/>
        <v>2.6592208482914504E-3</v>
      </c>
      <c r="K79" s="654">
        <f t="shared" si="12"/>
        <v>2.6592208482914504E-3</v>
      </c>
      <c r="L79" s="654">
        <f t="shared" si="13"/>
        <v>2.6592208482914504E-3</v>
      </c>
      <c r="M79" s="654">
        <f t="shared" si="13"/>
        <v>2.6592208482914504E-3</v>
      </c>
      <c r="N79" s="77"/>
      <c r="O79" s="190"/>
    </row>
    <row r="80" spans="2:18" x14ac:dyDescent="0.2">
      <c r="B80" s="75"/>
      <c r="C80" s="187"/>
      <c r="D80" s="187" t="s">
        <v>359</v>
      </c>
      <c r="E80" s="187"/>
      <c r="F80" s="70"/>
      <c r="G80" s="655">
        <f t="shared" ref="G80:L80" si="14">IF(G61=0,0,G69/G61)</f>
        <v>2.9986397922591813E-2</v>
      </c>
      <c r="H80" s="655">
        <f t="shared" si="14"/>
        <v>3.3268101761252444E-2</v>
      </c>
      <c r="I80" s="655">
        <f t="shared" si="14"/>
        <v>3.2907857997606704E-2</v>
      </c>
      <c r="J80" s="655">
        <f t="shared" si="14"/>
        <v>3.2907857997606704E-2</v>
      </c>
      <c r="K80" s="655">
        <f t="shared" si="14"/>
        <v>3.2907857997606704E-2</v>
      </c>
      <c r="L80" s="655">
        <f t="shared" si="14"/>
        <v>3.2907857997606704E-2</v>
      </c>
      <c r="M80" s="655">
        <f>IF(M61=0,0,M69/M61)</f>
        <v>3.2907857997606704E-2</v>
      </c>
      <c r="N80" s="77"/>
      <c r="O80" s="190"/>
    </row>
    <row r="81" spans="2:15" x14ac:dyDescent="0.2">
      <c r="B81" s="75"/>
      <c r="C81" s="187"/>
      <c r="D81" s="187" t="s">
        <v>358</v>
      </c>
      <c r="E81" s="187"/>
      <c r="F81" s="70"/>
      <c r="G81" s="655">
        <f t="shared" ref="G81:M81" si="15">IF(G$71=0,0,+G$239/G$71)</f>
        <v>2.911339216039378E-2</v>
      </c>
      <c r="H81" s="655">
        <f t="shared" si="15"/>
        <v>3.2196969696969696E-2</v>
      </c>
      <c r="I81" s="655">
        <f t="shared" si="15"/>
        <v>3.1859432322842246E-2</v>
      </c>
      <c r="J81" s="655">
        <f t="shared" si="15"/>
        <v>3.1859432322842246E-2</v>
      </c>
      <c r="K81" s="655">
        <f t="shared" si="15"/>
        <v>3.1859432322842246E-2</v>
      </c>
      <c r="L81" s="655">
        <f t="shared" si="15"/>
        <v>3.1859432322842246E-2</v>
      </c>
      <c r="M81" s="655">
        <f t="shared" si="15"/>
        <v>3.1859432322842246E-2</v>
      </c>
      <c r="N81" s="77"/>
      <c r="O81" s="190"/>
    </row>
    <row r="82" spans="2:15" x14ac:dyDescent="0.2">
      <c r="B82" s="75"/>
      <c r="C82" s="187"/>
      <c r="D82" s="187"/>
      <c r="E82" s="187"/>
      <c r="F82" s="70"/>
      <c r="G82" s="70"/>
      <c r="H82" s="70"/>
      <c r="I82" s="70"/>
      <c r="J82" s="70"/>
      <c r="K82" s="70"/>
      <c r="L82" s="70"/>
      <c r="M82" s="70"/>
      <c r="N82" s="77"/>
      <c r="O82" s="190"/>
    </row>
    <row r="83" spans="2:15" x14ac:dyDescent="0.2">
      <c r="B83" s="75"/>
      <c r="C83" s="109"/>
      <c r="D83" s="674" t="s">
        <v>463</v>
      </c>
      <c r="E83" s="109"/>
      <c r="F83" s="112"/>
      <c r="G83" s="112"/>
      <c r="H83" s="112"/>
      <c r="I83" s="112"/>
      <c r="J83" s="112"/>
      <c r="K83" s="112"/>
      <c r="L83" s="112"/>
      <c r="M83" s="112"/>
      <c r="N83" s="77"/>
      <c r="O83" s="190"/>
    </row>
    <row r="84" spans="2:15" x14ac:dyDescent="0.2">
      <c r="B84" s="75"/>
      <c r="C84" s="109"/>
      <c r="D84" s="109"/>
      <c r="E84" s="109"/>
      <c r="F84" s="112"/>
      <c r="G84" s="112"/>
      <c r="H84" s="404" t="s">
        <v>857</v>
      </c>
      <c r="I84" s="112"/>
      <c r="J84" s="112"/>
      <c r="K84" s="112"/>
      <c r="L84" s="112"/>
      <c r="M84" s="112"/>
      <c r="N84" s="77"/>
      <c r="O84" s="190"/>
    </row>
    <row r="85" spans="2:15" x14ac:dyDescent="0.2">
      <c r="B85" s="75"/>
      <c r="C85" s="109"/>
      <c r="D85" s="187" t="s">
        <v>360</v>
      </c>
      <c r="E85" s="109"/>
      <c r="F85" s="112"/>
      <c r="G85" s="654">
        <f>tab!J61</f>
        <v>0</v>
      </c>
      <c r="H85" s="1466">
        <v>3.0769999999999999E-2</v>
      </c>
      <c r="I85" s="791">
        <v>0</v>
      </c>
      <c r="J85" s="791">
        <v>0</v>
      </c>
      <c r="K85" s="791">
        <v>0</v>
      </c>
      <c r="L85" s="791">
        <v>0</v>
      </c>
      <c r="M85" s="791">
        <v>0</v>
      </c>
      <c r="N85" s="77"/>
      <c r="O85" s="190"/>
    </row>
    <row r="86" spans="2:15" x14ac:dyDescent="0.2">
      <c r="B86" s="75"/>
      <c r="C86" s="109"/>
      <c r="D86" s="187" t="s">
        <v>361</v>
      </c>
      <c r="E86" s="109"/>
      <c r="F86" s="112"/>
      <c r="G86" s="654">
        <f>tab!K61</f>
        <v>0</v>
      </c>
      <c r="H86" s="1466">
        <v>1.7600000000000001E-3</v>
      </c>
      <c r="I86" s="791">
        <v>0</v>
      </c>
      <c r="J86" s="791">
        <v>0</v>
      </c>
      <c r="K86" s="791">
        <v>0</v>
      </c>
      <c r="L86" s="791">
        <v>0</v>
      </c>
      <c r="M86" s="791">
        <v>0</v>
      </c>
      <c r="N86" s="77"/>
      <c r="O86" s="190"/>
    </row>
    <row r="87" spans="2:15" x14ac:dyDescent="0.2">
      <c r="B87" s="75"/>
      <c r="C87" s="109"/>
      <c r="D87" s="187" t="s">
        <v>362</v>
      </c>
      <c r="E87" s="109"/>
      <c r="F87" s="112"/>
      <c r="G87" s="654">
        <f>tab!L61</f>
        <v>0</v>
      </c>
      <c r="H87" s="1466">
        <v>2.32E-3</v>
      </c>
      <c r="I87" s="791">
        <v>0</v>
      </c>
      <c r="J87" s="791">
        <v>0</v>
      </c>
      <c r="K87" s="791">
        <v>0</v>
      </c>
      <c r="L87" s="791">
        <v>0</v>
      </c>
      <c r="M87" s="791">
        <v>0</v>
      </c>
      <c r="N87" s="77"/>
      <c r="O87" s="190"/>
    </row>
    <row r="88" spans="2:15" x14ac:dyDescent="0.2">
      <c r="B88" s="75"/>
      <c r="C88" s="109"/>
      <c r="D88" s="187" t="s">
        <v>698</v>
      </c>
      <c r="E88" s="109"/>
      <c r="F88" s="112"/>
      <c r="G88" s="654">
        <f>tab!M61</f>
        <v>0</v>
      </c>
      <c r="H88" s="1466">
        <v>3.4849999999999999E-2</v>
      </c>
      <c r="I88" s="791">
        <v>0</v>
      </c>
      <c r="J88" s="791">
        <v>0</v>
      </c>
      <c r="K88" s="791">
        <v>0</v>
      </c>
      <c r="L88" s="791">
        <v>0</v>
      </c>
      <c r="M88" s="791">
        <v>0</v>
      </c>
      <c r="N88" s="77"/>
      <c r="O88" s="190"/>
    </row>
    <row r="89" spans="2:15" x14ac:dyDescent="0.2">
      <c r="B89" s="75"/>
      <c r="C89" s="680"/>
      <c r="D89" s="680"/>
      <c r="E89" s="680"/>
      <c r="F89" s="549"/>
      <c r="G89" s="549"/>
      <c r="H89" s="549"/>
      <c r="I89" s="549"/>
      <c r="J89" s="549"/>
      <c r="K89" s="549"/>
      <c r="L89" s="549"/>
      <c r="M89" s="549"/>
      <c r="N89" s="77"/>
      <c r="O89" s="190"/>
    </row>
    <row r="90" spans="2:15" x14ac:dyDescent="0.2">
      <c r="B90" s="75"/>
      <c r="C90" s="178"/>
      <c r="D90" s="178"/>
      <c r="E90" s="178"/>
      <c r="F90" s="179"/>
      <c r="G90" s="179"/>
      <c r="H90" s="179"/>
      <c r="I90" s="179"/>
      <c r="J90" s="179"/>
      <c r="K90" s="179"/>
      <c r="L90" s="179"/>
      <c r="M90" s="179"/>
      <c r="N90" s="77"/>
      <c r="O90" s="190"/>
    </row>
    <row r="91" spans="2:15" x14ac:dyDescent="0.2">
      <c r="B91" s="85"/>
      <c r="C91" s="676"/>
      <c r="D91" s="676"/>
      <c r="E91" s="676"/>
      <c r="F91" s="677"/>
      <c r="G91" s="677"/>
      <c r="H91" s="677"/>
      <c r="I91" s="677"/>
      <c r="J91" s="677"/>
      <c r="K91" s="677"/>
      <c r="L91" s="677"/>
      <c r="M91" s="677"/>
      <c r="N91" s="84"/>
      <c r="O91" s="190"/>
    </row>
    <row r="92" spans="2:15" x14ac:dyDescent="0.2">
      <c r="B92" s="71"/>
      <c r="C92" s="203"/>
      <c r="D92" s="203"/>
      <c r="E92" s="203"/>
      <c r="F92" s="204"/>
      <c r="G92" s="204"/>
      <c r="H92" s="204"/>
      <c r="I92" s="204"/>
      <c r="J92" s="204"/>
      <c r="K92" s="204"/>
      <c r="L92" s="204"/>
      <c r="M92" s="204"/>
      <c r="N92" s="74"/>
      <c r="O92" s="190"/>
    </row>
    <row r="93" spans="2:15" x14ac:dyDescent="0.2">
      <c r="B93" s="75"/>
      <c r="C93" s="178"/>
      <c r="D93" s="178"/>
      <c r="E93" s="178"/>
      <c r="F93" s="179"/>
      <c r="G93" s="1528" t="s">
        <v>281</v>
      </c>
      <c r="H93" s="1528" t="s">
        <v>16</v>
      </c>
      <c r="I93" s="1528" t="s">
        <v>102</v>
      </c>
      <c r="J93" s="1528" t="s">
        <v>647</v>
      </c>
      <c r="K93" s="1528" t="s">
        <v>683</v>
      </c>
      <c r="L93" s="1528" t="s">
        <v>787</v>
      </c>
      <c r="M93" s="1528" t="s">
        <v>854</v>
      </c>
      <c r="N93" s="77"/>
      <c r="O93" s="190"/>
    </row>
    <row r="94" spans="2:15" x14ac:dyDescent="0.2">
      <c r="B94" s="75"/>
      <c r="C94" s="178"/>
      <c r="D94" s="178"/>
      <c r="E94" s="178"/>
      <c r="F94" s="179"/>
      <c r="G94" s="675">
        <f t="shared" ref="G94:M94" si="16">G16</f>
        <v>2018</v>
      </c>
      <c r="H94" s="675">
        <f t="shared" si="16"/>
        <v>2019</v>
      </c>
      <c r="I94" s="675">
        <f t="shared" si="16"/>
        <v>2020</v>
      </c>
      <c r="J94" s="675">
        <f t="shared" si="16"/>
        <v>2021</v>
      </c>
      <c r="K94" s="675">
        <f t="shared" si="16"/>
        <v>2022</v>
      </c>
      <c r="L94" s="675">
        <f t="shared" si="16"/>
        <v>2023</v>
      </c>
      <c r="M94" s="675">
        <f t="shared" si="16"/>
        <v>2024</v>
      </c>
      <c r="N94" s="77"/>
      <c r="O94" s="190"/>
    </row>
    <row r="95" spans="2:15" x14ac:dyDescent="0.2">
      <c r="B95" s="75"/>
      <c r="C95" s="178"/>
      <c r="D95" s="178"/>
      <c r="E95" s="178"/>
      <c r="F95" s="179"/>
      <c r="G95" s="179"/>
      <c r="H95" s="179"/>
      <c r="I95" s="179"/>
      <c r="J95" s="179"/>
      <c r="K95" s="179"/>
      <c r="L95" s="179"/>
      <c r="M95" s="179"/>
      <c r="N95" s="77"/>
      <c r="O95" s="190"/>
    </row>
    <row r="96" spans="2:15" x14ac:dyDescent="0.2">
      <c r="B96" s="75"/>
      <c r="C96" s="1433"/>
      <c r="D96" s="1433"/>
      <c r="E96" s="1433"/>
      <c r="F96" s="149"/>
      <c r="G96" s="70"/>
      <c r="H96" s="70"/>
      <c r="I96" s="70"/>
      <c r="J96" s="70"/>
      <c r="K96" s="70"/>
      <c r="L96" s="70"/>
      <c r="M96" s="70"/>
      <c r="N96" s="77"/>
      <c r="O96" s="190"/>
    </row>
    <row r="97" spans="2:32" x14ac:dyDescent="0.2">
      <c r="B97" s="75"/>
      <c r="C97" s="1433"/>
      <c r="D97" s="1434" t="s">
        <v>355</v>
      </c>
      <c r="E97" s="1433" t="s">
        <v>379</v>
      </c>
      <c r="F97" s="1431" t="s">
        <v>24</v>
      </c>
      <c r="G97" s="70"/>
      <c r="H97" s="70"/>
      <c r="I97" s="70"/>
      <c r="J97" s="70"/>
      <c r="K97" s="70"/>
      <c r="L97" s="70"/>
      <c r="M97" s="70"/>
      <c r="N97" s="77"/>
      <c r="O97" s="190"/>
    </row>
    <row r="98" spans="2:32" x14ac:dyDescent="0.2">
      <c r="B98" s="75"/>
      <c r="C98" s="1433"/>
      <c r="D98" s="1433"/>
      <c r="E98" s="1433"/>
      <c r="F98" s="149"/>
      <c r="G98" s="70"/>
      <c r="H98" s="70"/>
      <c r="I98" s="70"/>
      <c r="J98" s="70"/>
      <c r="K98" s="70"/>
      <c r="L98" s="70"/>
      <c r="M98" s="70"/>
      <c r="N98" s="77"/>
      <c r="O98" s="190"/>
    </row>
    <row r="99" spans="2:32" x14ac:dyDescent="0.2">
      <c r="B99" s="75"/>
      <c r="C99" s="1433"/>
      <c r="D99" s="1435" t="s">
        <v>755</v>
      </c>
      <c r="E99" s="1435"/>
      <c r="F99" s="149">
        <v>1</v>
      </c>
      <c r="G99" s="151">
        <v>409</v>
      </c>
      <c r="H99" s="151">
        <v>437</v>
      </c>
      <c r="I99" s="151">
        <v>423</v>
      </c>
      <c r="J99" s="151">
        <f>I99</f>
        <v>423</v>
      </c>
      <c r="K99" s="151">
        <f>J99</f>
        <v>423</v>
      </c>
      <c r="L99" s="151">
        <f>K99</f>
        <v>423</v>
      </c>
      <c r="M99" s="151">
        <f>L99</f>
        <v>423</v>
      </c>
      <c r="N99" s="77"/>
      <c r="O99" s="190"/>
      <c r="R99" s="841"/>
      <c r="S99" s="841"/>
      <c r="T99" s="841"/>
      <c r="U99" s="841"/>
    </row>
    <row r="100" spans="2:32" x14ac:dyDescent="0.2">
      <c r="B100" s="75"/>
      <c r="C100" s="1433"/>
      <c r="D100" s="1433"/>
      <c r="E100" s="1433"/>
      <c r="F100" s="149">
        <v>2</v>
      </c>
      <c r="G100" s="151">
        <v>30</v>
      </c>
      <c r="H100" s="151">
        <v>29</v>
      </c>
      <c r="I100" s="151">
        <v>32</v>
      </c>
      <c r="J100" s="151">
        <f t="shared" ref="J100:K101" si="17">I100</f>
        <v>32</v>
      </c>
      <c r="K100" s="151">
        <f t="shared" si="17"/>
        <v>32</v>
      </c>
      <c r="L100" s="151">
        <f>K100</f>
        <v>32</v>
      </c>
      <c r="M100" s="151">
        <f>L100</f>
        <v>32</v>
      </c>
      <c r="N100" s="77"/>
      <c r="O100" s="190"/>
    </row>
    <row r="101" spans="2:32" x14ac:dyDescent="0.2">
      <c r="B101" s="75"/>
      <c r="C101" s="1433"/>
      <c r="D101" s="1433"/>
      <c r="E101" s="1433"/>
      <c r="F101" s="149">
        <v>3</v>
      </c>
      <c r="G101" s="151">
        <v>46</v>
      </c>
      <c r="H101" s="151">
        <v>44</v>
      </c>
      <c r="I101" s="151">
        <v>40</v>
      </c>
      <c r="J101" s="151">
        <f t="shared" si="17"/>
        <v>40</v>
      </c>
      <c r="K101" s="151">
        <f t="shared" si="17"/>
        <v>40</v>
      </c>
      <c r="L101" s="151">
        <f>K101</f>
        <v>40</v>
      </c>
      <c r="M101" s="151">
        <f>L101</f>
        <v>40</v>
      </c>
      <c r="N101" s="77"/>
      <c r="O101" s="190"/>
    </row>
    <row r="102" spans="2:32" x14ac:dyDescent="0.2">
      <c r="B102" s="75"/>
      <c r="C102" s="1433"/>
      <c r="D102" s="1433"/>
      <c r="E102" s="1433"/>
      <c r="F102" s="149"/>
      <c r="G102" s="70"/>
      <c r="H102" s="70"/>
      <c r="I102" s="70"/>
      <c r="J102" s="70"/>
      <c r="K102" s="70"/>
      <c r="L102" s="70"/>
      <c r="M102" s="70"/>
      <c r="N102" s="77"/>
      <c r="O102" s="190"/>
    </row>
    <row r="103" spans="2:32" x14ac:dyDescent="0.2">
      <c r="B103" s="75"/>
      <c r="C103" s="1433"/>
      <c r="D103" s="1435" t="s">
        <v>756</v>
      </c>
      <c r="E103" s="1435"/>
      <c r="F103" s="149">
        <v>1</v>
      </c>
      <c r="G103" s="151">
        <v>0</v>
      </c>
      <c r="H103" s="151">
        <f t="shared" ref="H103:I105" si="18">+G103</f>
        <v>0</v>
      </c>
      <c r="I103" s="151">
        <f t="shared" si="18"/>
        <v>0</v>
      </c>
      <c r="J103" s="151">
        <f t="shared" ref="J103:M105" si="19">+I103</f>
        <v>0</v>
      </c>
      <c r="K103" s="151">
        <f t="shared" si="19"/>
        <v>0</v>
      </c>
      <c r="L103" s="151">
        <f t="shared" si="19"/>
        <v>0</v>
      </c>
      <c r="M103" s="151">
        <f t="shared" si="19"/>
        <v>0</v>
      </c>
      <c r="N103" s="77"/>
      <c r="O103" s="190"/>
    </row>
    <row r="104" spans="2:32" x14ac:dyDescent="0.2">
      <c r="B104" s="75"/>
      <c r="C104" s="1433"/>
      <c r="D104" s="1433"/>
      <c r="E104" s="1433"/>
      <c r="F104" s="149">
        <v>2</v>
      </c>
      <c r="G104" s="151">
        <v>0</v>
      </c>
      <c r="H104" s="151">
        <f t="shared" si="18"/>
        <v>0</v>
      </c>
      <c r="I104" s="151">
        <f t="shared" si="18"/>
        <v>0</v>
      </c>
      <c r="J104" s="151">
        <f t="shared" si="19"/>
        <v>0</v>
      </c>
      <c r="K104" s="151">
        <f t="shared" si="19"/>
        <v>0</v>
      </c>
      <c r="L104" s="151">
        <f t="shared" si="19"/>
        <v>0</v>
      </c>
      <c r="M104" s="151">
        <f t="shared" si="19"/>
        <v>0</v>
      </c>
      <c r="N104" s="77"/>
      <c r="O104" s="190"/>
      <c r="AC104" s="192"/>
    </row>
    <row r="105" spans="2:32" x14ac:dyDescent="0.2">
      <c r="B105" s="75"/>
      <c r="C105" s="1433"/>
      <c r="D105" s="1433"/>
      <c r="E105" s="1433"/>
      <c r="F105" s="149">
        <v>3</v>
      </c>
      <c r="G105" s="151">
        <v>0</v>
      </c>
      <c r="H105" s="151">
        <f t="shared" si="18"/>
        <v>0</v>
      </c>
      <c r="I105" s="151">
        <f t="shared" si="18"/>
        <v>0</v>
      </c>
      <c r="J105" s="151">
        <f t="shared" si="19"/>
        <v>0</v>
      </c>
      <c r="K105" s="151">
        <f t="shared" si="19"/>
        <v>0</v>
      </c>
      <c r="L105" s="151">
        <f t="shared" si="19"/>
        <v>0</v>
      </c>
      <c r="M105" s="151">
        <f t="shared" si="19"/>
        <v>0</v>
      </c>
      <c r="N105" s="77"/>
      <c r="O105" s="190"/>
    </row>
    <row r="106" spans="2:32" x14ac:dyDescent="0.2">
      <c r="B106" s="75"/>
      <c r="C106" s="1433"/>
      <c r="D106" s="1433"/>
      <c r="E106" s="1433"/>
      <c r="F106" s="149"/>
      <c r="G106" s="198"/>
      <c r="H106" s="70"/>
      <c r="I106" s="70"/>
      <c r="J106" s="70"/>
      <c r="K106" s="70"/>
      <c r="L106" s="70"/>
      <c r="M106" s="70"/>
      <c r="N106" s="77"/>
      <c r="O106" s="190"/>
    </row>
    <row r="107" spans="2:32" x14ac:dyDescent="0.2">
      <c r="B107" s="75"/>
      <c r="C107" s="1433"/>
      <c r="D107" s="1435" t="s">
        <v>757</v>
      </c>
      <c r="E107" s="1435"/>
      <c r="F107" s="149">
        <v>1</v>
      </c>
      <c r="G107" s="151">
        <v>0</v>
      </c>
      <c r="H107" s="151">
        <f t="shared" ref="H107:I109" si="20">+G107</f>
        <v>0</v>
      </c>
      <c r="I107" s="151">
        <f t="shared" si="20"/>
        <v>0</v>
      </c>
      <c r="J107" s="151">
        <f t="shared" ref="J107:M109" si="21">+I107</f>
        <v>0</v>
      </c>
      <c r="K107" s="151">
        <f t="shared" si="21"/>
        <v>0</v>
      </c>
      <c r="L107" s="151">
        <f t="shared" si="21"/>
        <v>0</v>
      </c>
      <c r="M107" s="151">
        <f t="shared" si="21"/>
        <v>0</v>
      </c>
      <c r="N107" s="77"/>
      <c r="O107" s="190"/>
      <c r="AD107" s="192"/>
      <c r="AE107" s="192"/>
      <c r="AF107" s="192"/>
    </row>
    <row r="108" spans="2:32" x14ac:dyDescent="0.2">
      <c r="B108" s="75"/>
      <c r="C108" s="1433"/>
      <c r="D108" s="1433"/>
      <c r="E108" s="1433"/>
      <c r="F108" s="149">
        <v>2</v>
      </c>
      <c r="G108" s="151">
        <v>0</v>
      </c>
      <c r="H108" s="151">
        <f t="shared" si="20"/>
        <v>0</v>
      </c>
      <c r="I108" s="151">
        <f t="shared" si="20"/>
        <v>0</v>
      </c>
      <c r="J108" s="151">
        <f t="shared" si="21"/>
        <v>0</v>
      </c>
      <c r="K108" s="151">
        <f t="shared" si="21"/>
        <v>0</v>
      </c>
      <c r="L108" s="151">
        <f t="shared" si="21"/>
        <v>0</v>
      </c>
      <c r="M108" s="151">
        <f t="shared" si="21"/>
        <v>0</v>
      </c>
      <c r="N108" s="77"/>
      <c r="O108" s="190"/>
    </row>
    <row r="109" spans="2:32" x14ac:dyDescent="0.2">
      <c r="B109" s="75"/>
      <c r="C109" s="1433"/>
      <c r="D109" s="1433"/>
      <c r="E109" s="1433"/>
      <c r="F109" s="149">
        <v>3</v>
      </c>
      <c r="G109" s="151">
        <v>0</v>
      </c>
      <c r="H109" s="151">
        <f t="shared" si="20"/>
        <v>0</v>
      </c>
      <c r="I109" s="151">
        <f t="shared" si="20"/>
        <v>0</v>
      </c>
      <c r="J109" s="151">
        <f t="shared" si="21"/>
        <v>0</v>
      </c>
      <c r="K109" s="151">
        <f t="shared" si="21"/>
        <v>0</v>
      </c>
      <c r="L109" s="151">
        <f t="shared" si="21"/>
        <v>0</v>
      </c>
      <c r="M109" s="151">
        <f t="shared" si="21"/>
        <v>0</v>
      </c>
      <c r="N109" s="77"/>
      <c r="O109" s="190"/>
    </row>
    <row r="110" spans="2:32" x14ac:dyDescent="0.2">
      <c r="B110" s="75"/>
      <c r="C110" s="1433"/>
      <c r="D110" s="1433"/>
      <c r="E110" s="1433"/>
      <c r="F110" s="149"/>
      <c r="G110" s="198"/>
      <c r="H110" s="70"/>
      <c r="I110" s="70"/>
      <c r="J110" s="70"/>
      <c r="K110" s="70"/>
      <c r="L110" s="70"/>
      <c r="M110" s="70"/>
      <c r="N110" s="77"/>
      <c r="O110" s="190"/>
    </row>
    <row r="111" spans="2:32" x14ac:dyDescent="0.2">
      <c r="B111" s="75"/>
      <c r="C111" s="1433"/>
      <c r="D111" s="1435" t="s">
        <v>758</v>
      </c>
      <c r="E111" s="1435"/>
      <c r="F111" s="149">
        <v>1</v>
      </c>
      <c r="G111" s="151">
        <v>0</v>
      </c>
      <c r="H111" s="151">
        <f t="shared" ref="H111:I113" si="22">+G111</f>
        <v>0</v>
      </c>
      <c r="I111" s="151">
        <f t="shared" si="22"/>
        <v>0</v>
      </c>
      <c r="J111" s="151">
        <f t="shared" ref="J111:M113" si="23">+I111</f>
        <v>0</v>
      </c>
      <c r="K111" s="151">
        <f t="shared" si="23"/>
        <v>0</v>
      </c>
      <c r="L111" s="151">
        <f t="shared" si="23"/>
        <v>0</v>
      </c>
      <c r="M111" s="151">
        <f t="shared" si="23"/>
        <v>0</v>
      </c>
      <c r="N111" s="77"/>
      <c r="O111" s="190"/>
    </row>
    <row r="112" spans="2:32" x14ac:dyDescent="0.2">
      <c r="B112" s="75"/>
      <c r="C112" s="1433"/>
      <c r="D112" s="1433"/>
      <c r="E112" s="1433"/>
      <c r="F112" s="149">
        <v>2</v>
      </c>
      <c r="G112" s="151">
        <v>0</v>
      </c>
      <c r="H112" s="151">
        <f t="shared" si="22"/>
        <v>0</v>
      </c>
      <c r="I112" s="151">
        <f t="shared" si="22"/>
        <v>0</v>
      </c>
      <c r="J112" s="151">
        <f t="shared" si="23"/>
        <v>0</v>
      </c>
      <c r="K112" s="151">
        <f t="shared" si="23"/>
        <v>0</v>
      </c>
      <c r="L112" s="151">
        <f t="shared" si="23"/>
        <v>0</v>
      </c>
      <c r="M112" s="151">
        <f t="shared" si="23"/>
        <v>0</v>
      </c>
      <c r="N112" s="77"/>
      <c r="O112" s="190"/>
      <c r="AD112" s="192"/>
      <c r="AE112" s="192"/>
      <c r="AF112" s="192"/>
    </row>
    <row r="113" spans="2:32" x14ac:dyDescent="0.2">
      <c r="B113" s="75"/>
      <c r="C113" s="1433"/>
      <c r="D113" s="1433"/>
      <c r="E113" s="1433"/>
      <c r="F113" s="149">
        <v>3</v>
      </c>
      <c r="G113" s="151">
        <v>0</v>
      </c>
      <c r="H113" s="151">
        <f t="shared" si="22"/>
        <v>0</v>
      </c>
      <c r="I113" s="151">
        <f t="shared" si="22"/>
        <v>0</v>
      </c>
      <c r="J113" s="151">
        <f t="shared" si="23"/>
        <v>0</v>
      </c>
      <c r="K113" s="151">
        <f t="shared" si="23"/>
        <v>0</v>
      </c>
      <c r="L113" s="151">
        <f t="shared" si="23"/>
        <v>0</v>
      </c>
      <c r="M113" s="151">
        <f t="shared" si="23"/>
        <v>0</v>
      </c>
      <c r="N113" s="77"/>
      <c r="O113" s="190"/>
    </row>
    <row r="114" spans="2:32" x14ac:dyDescent="0.2">
      <c r="B114" s="75"/>
      <c r="C114" s="1433"/>
      <c r="D114" s="1433"/>
      <c r="E114" s="1433"/>
      <c r="F114" s="149"/>
      <c r="G114" s="198"/>
      <c r="H114" s="70"/>
      <c r="I114" s="70"/>
      <c r="J114" s="70"/>
      <c r="K114" s="70"/>
      <c r="L114" s="70"/>
      <c r="M114" s="70"/>
      <c r="N114" s="77"/>
      <c r="O114" s="190"/>
    </row>
    <row r="115" spans="2:32" x14ac:dyDescent="0.2">
      <c r="B115" s="75"/>
      <c r="C115" s="1433"/>
      <c r="D115" s="1435" t="s">
        <v>759</v>
      </c>
      <c r="E115" s="1435"/>
      <c r="F115" s="149">
        <v>1</v>
      </c>
      <c r="G115" s="151">
        <v>0</v>
      </c>
      <c r="H115" s="151">
        <f t="shared" ref="H115:I117" si="24">+G115</f>
        <v>0</v>
      </c>
      <c r="I115" s="151">
        <f t="shared" si="24"/>
        <v>0</v>
      </c>
      <c r="J115" s="151">
        <f t="shared" ref="J115:M117" si="25">+I115</f>
        <v>0</v>
      </c>
      <c r="K115" s="151">
        <f t="shared" si="25"/>
        <v>0</v>
      </c>
      <c r="L115" s="151">
        <f t="shared" si="25"/>
        <v>0</v>
      </c>
      <c r="M115" s="151">
        <f t="shared" si="25"/>
        <v>0</v>
      </c>
      <c r="N115" s="77"/>
      <c r="O115" s="190"/>
    </row>
    <row r="116" spans="2:32" x14ac:dyDescent="0.2">
      <c r="B116" s="75"/>
      <c r="C116" s="1433"/>
      <c r="D116" s="1433"/>
      <c r="E116" s="1433"/>
      <c r="F116" s="149">
        <v>2</v>
      </c>
      <c r="G116" s="151">
        <v>0</v>
      </c>
      <c r="H116" s="151">
        <f t="shared" si="24"/>
        <v>0</v>
      </c>
      <c r="I116" s="151">
        <f t="shared" si="24"/>
        <v>0</v>
      </c>
      <c r="J116" s="151">
        <f t="shared" si="25"/>
        <v>0</v>
      </c>
      <c r="K116" s="151">
        <f t="shared" si="25"/>
        <v>0</v>
      </c>
      <c r="L116" s="151">
        <f t="shared" si="25"/>
        <v>0</v>
      </c>
      <c r="M116" s="151">
        <f t="shared" si="25"/>
        <v>0</v>
      </c>
      <c r="N116" s="77"/>
      <c r="O116" s="190"/>
    </row>
    <row r="117" spans="2:32" x14ac:dyDescent="0.2">
      <c r="B117" s="75"/>
      <c r="C117" s="1433"/>
      <c r="D117" s="1433"/>
      <c r="E117" s="1433"/>
      <c r="F117" s="149">
        <v>3</v>
      </c>
      <c r="G117" s="151">
        <v>0</v>
      </c>
      <c r="H117" s="151">
        <f t="shared" si="24"/>
        <v>0</v>
      </c>
      <c r="I117" s="151">
        <f t="shared" si="24"/>
        <v>0</v>
      </c>
      <c r="J117" s="151">
        <f t="shared" si="25"/>
        <v>0</v>
      </c>
      <c r="K117" s="151">
        <f t="shared" si="25"/>
        <v>0</v>
      </c>
      <c r="L117" s="151">
        <f t="shared" si="25"/>
        <v>0</v>
      </c>
      <c r="M117" s="151">
        <f t="shared" si="25"/>
        <v>0</v>
      </c>
      <c r="N117" s="77"/>
      <c r="O117" s="190"/>
      <c r="AD117" s="192"/>
      <c r="AE117" s="192"/>
      <c r="AF117" s="192"/>
    </row>
    <row r="118" spans="2:32" x14ac:dyDescent="0.2">
      <c r="B118" s="75"/>
      <c r="C118" s="1433"/>
      <c r="D118" s="1433"/>
      <c r="E118" s="1433"/>
      <c r="F118" s="149"/>
      <c r="G118" s="198"/>
      <c r="H118" s="70"/>
      <c r="I118" s="70"/>
      <c r="J118" s="70"/>
      <c r="K118" s="70"/>
      <c r="L118" s="70"/>
      <c r="M118" s="70"/>
      <c r="N118" s="77"/>
      <c r="O118" s="190"/>
    </row>
    <row r="119" spans="2:32" x14ac:dyDescent="0.2">
      <c r="B119" s="75"/>
      <c r="C119" s="1433"/>
      <c r="D119" s="1435" t="s">
        <v>760</v>
      </c>
      <c r="E119" s="1435"/>
      <c r="F119" s="149">
        <v>1</v>
      </c>
      <c r="G119" s="151">
        <v>0</v>
      </c>
      <c r="H119" s="151">
        <f t="shared" ref="H119:M119" si="26">G119</f>
        <v>0</v>
      </c>
      <c r="I119" s="151">
        <f t="shared" si="26"/>
        <v>0</v>
      </c>
      <c r="J119" s="151">
        <f t="shared" si="26"/>
        <v>0</v>
      </c>
      <c r="K119" s="151">
        <f t="shared" si="26"/>
        <v>0</v>
      </c>
      <c r="L119" s="151">
        <f t="shared" si="26"/>
        <v>0</v>
      </c>
      <c r="M119" s="151">
        <f t="shared" si="26"/>
        <v>0</v>
      </c>
      <c r="N119" s="77"/>
      <c r="O119" s="190"/>
    </row>
    <row r="120" spans="2:32" x14ac:dyDescent="0.2">
      <c r="B120" s="75"/>
      <c r="C120" s="1433"/>
      <c r="D120" s="1433"/>
      <c r="E120" s="1433"/>
      <c r="F120" s="149">
        <v>2</v>
      </c>
      <c r="G120" s="151">
        <v>0</v>
      </c>
      <c r="H120" s="151">
        <f>G120</f>
        <v>0</v>
      </c>
      <c r="I120" s="151">
        <f t="shared" ref="I120:K121" si="27">H120</f>
        <v>0</v>
      </c>
      <c r="J120" s="151">
        <f t="shared" si="27"/>
        <v>0</v>
      </c>
      <c r="K120" s="151">
        <f t="shared" si="27"/>
        <v>0</v>
      </c>
      <c r="L120" s="151">
        <f>K120</f>
        <v>0</v>
      </c>
      <c r="M120" s="151">
        <f>L120</f>
        <v>0</v>
      </c>
      <c r="N120" s="77"/>
      <c r="O120" s="190"/>
      <c r="AC120" s="192"/>
    </row>
    <row r="121" spans="2:32" x14ac:dyDescent="0.2">
      <c r="B121" s="75"/>
      <c r="C121" s="1433"/>
      <c r="D121" s="1433"/>
      <c r="E121" s="1433"/>
      <c r="F121" s="149">
        <v>3</v>
      </c>
      <c r="G121" s="151">
        <v>0</v>
      </c>
      <c r="H121" s="151">
        <f>G121</f>
        <v>0</v>
      </c>
      <c r="I121" s="151">
        <f t="shared" si="27"/>
        <v>0</v>
      </c>
      <c r="J121" s="151">
        <f t="shared" si="27"/>
        <v>0</v>
      </c>
      <c r="K121" s="151">
        <f t="shared" si="27"/>
        <v>0</v>
      </c>
      <c r="L121" s="151">
        <f>K121</f>
        <v>0</v>
      </c>
      <c r="M121" s="151">
        <f>L121</f>
        <v>0</v>
      </c>
      <c r="N121" s="77"/>
      <c r="O121" s="190"/>
    </row>
    <row r="122" spans="2:32" x14ac:dyDescent="0.2">
      <c r="B122" s="75"/>
      <c r="C122" s="1433"/>
      <c r="D122" s="1433"/>
      <c r="E122" s="1433"/>
      <c r="F122" s="149"/>
      <c r="G122" s="198"/>
      <c r="H122" s="70"/>
      <c r="I122" s="70"/>
      <c r="J122" s="70"/>
      <c r="K122" s="70"/>
      <c r="L122" s="70"/>
      <c r="M122" s="70"/>
      <c r="N122" s="77"/>
      <c r="O122" s="190"/>
      <c r="AC122" s="192"/>
    </row>
    <row r="123" spans="2:32" x14ac:dyDescent="0.2">
      <c r="B123" s="75"/>
      <c r="C123" s="1433"/>
      <c r="D123" s="1435" t="s">
        <v>761</v>
      </c>
      <c r="E123" s="1435"/>
      <c r="F123" s="149">
        <v>1</v>
      </c>
      <c r="G123" s="151">
        <v>0</v>
      </c>
      <c r="H123" s="151">
        <f t="shared" ref="H123:M123" si="28">G123</f>
        <v>0</v>
      </c>
      <c r="I123" s="151">
        <f t="shared" si="28"/>
        <v>0</v>
      </c>
      <c r="J123" s="151">
        <f t="shared" si="28"/>
        <v>0</v>
      </c>
      <c r="K123" s="151">
        <f t="shared" si="28"/>
        <v>0</v>
      </c>
      <c r="L123" s="151">
        <f t="shared" si="28"/>
        <v>0</v>
      </c>
      <c r="M123" s="151">
        <f t="shared" si="28"/>
        <v>0</v>
      </c>
      <c r="N123" s="77"/>
      <c r="O123" s="190"/>
    </row>
    <row r="124" spans="2:32" x14ac:dyDescent="0.2">
      <c r="B124" s="75"/>
      <c r="C124" s="1433"/>
      <c r="D124" s="1433"/>
      <c r="E124" s="1433"/>
      <c r="F124" s="149">
        <v>2</v>
      </c>
      <c r="G124" s="151">
        <v>0</v>
      </c>
      <c r="H124" s="151">
        <f>G124</f>
        <v>0</v>
      </c>
      <c r="I124" s="151">
        <f t="shared" ref="I124:K125" si="29">H124</f>
        <v>0</v>
      </c>
      <c r="J124" s="151">
        <f t="shared" si="29"/>
        <v>0</v>
      </c>
      <c r="K124" s="151">
        <f t="shared" si="29"/>
        <v>0</v>
      </c>
      <c r="L124" s="151">
        <f>K124</f>
        <v>0</v>
      </c>
      <c r="M124" s="151">
        <f>L124</f>
        <v>0</v>
      </c>
      <c r="N124" s="77"/>
      <c r="O124" s="190"/>
    </row>
    <row r="125" spans="2:32" x14ac:dyDescent="0.2">
      <c r="B125" s="75"/>
      <c r="C125" s="1433"/>
      <c r="D125" s="1433"/>
      <c r="E125" s="1433"/>
      <c r="F125" s="149">
        <v>3</v>
      </c>
      <c r="G125" s="151">
        <v>0</v>
      </c>
      <c r="H125" s="151">
        <f>G125</f>
        <v>0</v>
      </c>
      <c r="I125" s="151">
        <f t="shared" si="29"/>
        <v>0</v>
      </c>
      <c r="J125" s="151">
        <f t="shared" si="29"/>
        <v>0</v>
      </c>
      <c r="K125" s="151">
        <f t="shared" si="29"/>
        <v>0</v>
      </c>
      <c r="L125" s="151">
        <f>K125</f>
        <v>0</v>
      </c>
      <c r="M125" s="151">
        <f>L125</f>
        <v>0</v>
      </c>
      <c r="N125" s="77"/>
      <c r="O125" s="190"/>
      <c r="AC125" s="192"/>
    </row>
    <row r="126" spans="2:32" x14ac:dyDescent="0.2">
      <c r="B126" s="75"/>
      <c r="C126" s="1433"/>
      <c r="D126" s="1433"/>
      <c r="E126" s="1433"/>
      <c r="F126" s="149"/>
      <c r="G126" s="198"/>
      <c r="H126" s="70"/>
      <c r="I126" s="70"/>
      <c r="J126" s="70"/>
      <c r="K126" s="70"/>
      <c r="L126" s="70"/>
      <c r="M126" s="70"/>
      <c r="N126" s="77"/>
      <c r="O126" s="190"/>
    </row>
    <row r="127" spans="2:32" x14ac:dyDescent="0.2">
      <c r="B127" s="75"/>
      <c r="C127" s="1433"/>
      <c r="D127" s="1435" t="s">
        <v>762</v>
      </c>
      <c r="E127" s="1435"/>
      <c r="F127" s="149">
        <v>1</v>
      </c>
      <c r="G127" s="151">
        <v>0</v>
      </c>
      <c r="H127" s="151">
        <f t="shared" ref="H127:I129" si="30">+G127</f>
        <v>0</v>
      </c>
      <c r="I127" s="151">
        <f t="shared" si="30"/>
        <v>0</v>
      </c>
      <c r="J127" s="151">
        <f t="shared" ref="J127:M129" si="31">+I127</f>
        <v>0</v>
      </c>
      <c r="K127" s="151">
        <f t="shared" si="31"/>
        <v>0</v>
      </c>
      <c r="L127" s="151">
        <f t="shared" si="31"/>
        <v>0</v>
      </c>
      <c r="M127" s="151">
        <f t="shared" si="31"/>
        <v>0</v>
      </c>
      <c r="N127" s="77"/>
      <c r="O127" s="190"/>
      <c r="AC127" s="192"/>
    </row>
    <row r="128" spans="2:32" x14ac:dyDescent="0.2">
      <c r="B128" s="75"/>
      <c r="C128" s="1433"/>
      <c r="D128" s="1433"/>
      <c r="E128" s="1433"/>
      <c r="F128" s="149">
        <v>2</v>
      </c>
      <c r="G128" s="151">
        <v>0</v>
      </c>
      <c r="H128" s="151">
        <f t="shared" si="30"/>
        <v>0</v>
      </c>
      <c r="I128" s="151">
        <f t="shared" si="30"/>
        <v>0</v>
      </c>
      <c r="J128" s="151">
        <f t="shared" si="31"/>
        <v>0</v>
      </c>
      <c r="K128" s="151">
        <f t="shared" si="31"/>
        <v>0</v>
      </c>
      <c r="L128" s="151">
        <f t="shared" si="31"/>
        <v>0</v>
      </c>
      <c r="M128" s="151">
        <f t="shared" si="31"/>
        <v>0</v>
      </c>
      <c r="N128" s="77"/>
      <c r="O128" s="190"/>
    </row>
    <row r="129" spans="2:32" x14ac:dyDescent="0.2">
      <c r="B129" s="75"/>
      <c r="C129" s="1433"/>
      <c r="D129" s="1433"/>
      <c r="E129" s="1433"/>
      <c r="F129" s="149">
        <v>3</v>
      </c>
      <c r="G129" s="151">
        <v>0</v>
      </c>
      <c r="H129" s="151">
        <f t="shared" si="30"/>
        <v>0</v>
      </c>
      <c r="I129" s="151">
        <f t="shared" si="30"/>
        <v>0</v>
      </c>
      <c r="J129" s="151">
        <f t="shared" si="31"/>
        <v>0</v>
      </c>
      <c r="K129" s="151">
        <f t="shared" si="31"/>
        <v>0</v>
      </c>
      <c r="L129" s="151">
        <f t="shared" si="31"/>
        <v>0</v>
      </c>
      <c r="M129" s="151">
        <f t="shared" si="31"/>
        <v>0</v>
      </c>
      <c r="N129" s="77"/>
      <c r="O129" s="190"/>
    </row>
    <row r="130" spans="2:32" x14ac:dyDescent="0.2">
      <c r="B130" s="75"/>
      <c r="C130" s="1433"/>
      <c r="D130" s="1433"/>
      <c r="E130" s="1433"/>
      <c r="F130" s="149"/>
      <c r="G130" s="198"/>
      <c r="H130" s="70"/>
      <c r="I130" s="70"/>
      <c r="J130" s="70"/>
      <c r="K130" s="70"/>
      <c r="L130" s="70"/>
      <c r="M130" s="70"/>
      <c r="N130" s="77"/>
      <c r="O130" s="190"/>
    </row>
    <row r="131" spans="2:32" x14ac:dyDescent="0.2">
      <c r="B131" s="75"/>
      <c r="C131" s="1433"/>
      <c r="D131" s="1435" t="s">
        <v>763</v>
      </c>
      <c r="E131" s="1435"/>
      <c r="F131" s="149">
        <v>1</v>
      </c>
      <c r="G131" s="151">
        <v>0</v>
      </c>
      <c r="H131" s="151">
        <f t="shared" ref="H131:M131" si="32">G131</f>
        <v>0</v>
      </c>
      <c r="I131" s="151">
        <f t="shared" si="32"/>
        <v>0</v>
      </c>
      <c r="J131" s="151">
        <f t="shared" si="32"/>
        <v>0</v>
      </c>
      <c r="K131" s="151">
        <f t="shared" si="32"/>
        <v>0</v>
      </c>
      <c r="L131" s="151">
        <f t="shared" si="32"/>
        <v>0</v>
      </c>
      <c r="M131" s="151">
        <f t="shared" si="32"/>
        <v>0</v>
      </c>
      <c r="N131" s="77"/>
      <c r="O131" s="190"/>
    </row>
    <row r="132" spans="2:32" x14ac:dyDescent="0.2">
      <c r="B132" s="75"/>
      <c r="C132" s="1433"/>
      <c r="D132" s="1433"/>
      <c r="E132" s="1433"/>
      <c r="F132" s="149">
        <v>2</v>
      </c>
      <c r="G132" s="151">
        <v>0</v>
      </c>
      <c r="H132" s="151">
        <f>G132</f>
        <v>0</v>
      </c>
      <c r="I132" s="151">
        <f t="shared" ref="I132:K133" si="33">H132</f>
        <v>0</v>
      </c>
      <c r="J132" s="151">
        <f t="shared" si="33"/>
        <v>0</v>
      </c>
      <c r="K132" s="151">
        <f t="shared" si="33"/>
        <v>0</v>
      </c>
      <c r="L132" s="151">
        <f>K132</f>
        <v>0</v>
      </c>
      <c r="M132" s="151">
        <f>L132</f>
        <v>0</v>
      </c>
      <c r="N132" s="77"/>
      <c r="O132" s="190"/>
      <c r="AD132" s="192"/>
      <c r="AE132" s="192"/>
      <c r="AF132" s="192"/>
    </row>
    <row r="133" spans="2:32" x14ac:dyDescent="0.2">
      <c r="B133" s="75"/>
      <c r="C133" s="1433"/>
      <c r="D133" s="1433"/>
      <c r="E133" s="1433"/>
      <c r="F133" s="149">
        <v>3</v>
      </c>
      <c r="G133" s="151">
        <v>0</v>
      </c>
      <c r="H133" s="151">
        <f>G133</f>
        <v>0</v>
      </c>
      <c r="I133" s="151">
        <f t="shared" si="33"/>
        <v>0</v>
      </c>
      <c r="J133" s="151">
        <f t="shared" si="33"/>
        <v>0</v>
      </c>
      <c r="K133" s="151">
        <f t="shared" si="33"/>
        <v>0</v>
      </c>
      <c r="L133" s="151">
        <f>K133</f>
        <v>0</v>
      </c>
      <c r="M133" s="151">
        <f>L133</f>
        <v>0</v>
      </c>
      <c r="N133" s="77"/>
      <c r="O133" s="190"/>
    </row>
    <row r="134" spans="2:32" x14ac:dyDescent="0.2">
      <c r="B134" s="75"/>
      <c r="C134" s="1433"/>
      <c r="D134" s="1433"/>
      <c r="E134" s="1433"/>
      <c r="F134" s="149"/>
      <c r="G134" s="198"/>
      <c r="H134" s="70"/>
      <c r="I134" s="70"/>
      <c r="J134" s="70"/>
      <c r="K134" s="70"/>
      <c r="L134" s="70"/>
      <c r="M134" s="70"/>
      <c r="N134" s="77"/>
      <c r="O134" s="190"/>
      <c r="P134" s="790"/>
    </row>
    <row r="135" spans="2:32" x14ac:dyDescent="0.2">
      <c r="B135" s="75"/>
      <c r="C135" s="1433"/>
      <c r="D135" s="1435" t="s">
        <v>764</v>
      </c>
      <c r="E135" s="1435"/>
      <c r="F135" s="149">
        <v>1</v>
      </c>
      <c r="G135" s="151">
        <v>0</v>
      </c>
      <c r="H135" s="151">
        <f>+G135</f>
        <v>0</v>
      </c>
      <c r="I135" s="151">
        <f t="shared" ref="I135:M137" si="34">+H135</f>
        <v>0</v>
      </c>
      <c r="J135" s="151">
        <f t="shared" si="34"/>
        <v>0</v>
      </c>
      <c r="K135" s="151">
        <f t="shared" si="34"/>
        <v>0</v>
      </c>
      <c r="L135" s="151">
        <f t="shared" si="34"/>
        <v>0</v>
      </c>
      <c r="M135" s="151">
        <f t="shared" si="34"/>
        <v>0</v>
      </c>
      <c r="N135" s="77"/>
      <c r="O135" s="190"/>
      <c r="P135" s="790"/>
    </row>
    <row r="136" spans="2:32" x14ac:dyDescent="0.2">
      <c r="B136" s="75"/>
      <c r="C136" s="1433"/>
      <c r="D136" s="1433"/>
      <c r="E136" s="1433"/>
      <c r="F136" s="149">
        <v>2</v>
      </c>
      <c r="G136" s="151">
        <v>0</v>
      </c>
      <c r="H136" s="151">
        <f>+G136</f>
        <v>0</v>
      </c>
      <c r="I136" s="151">
        <f t="shared" si="34"/>
        <v>0</v>
      </c>
      <c r="J136" s="151">
        <f t="shared" si="34"/>
        <v>0</v>
      </c>
      <c r="K136" s="151">
        <f t="shared" si="34"/>
        <v>0</v>
      </c>
      <c r="L136" s="151">
        <f t="shared" si="34"/>
        <v>0</v>
      </c>
      <c r="M136" s="151">
        <f t="shared" si="34"/>
        <v>0</v>
      </c>
      <c r="N136" s="77"/>
      <c r="O136" s="190"/>
      <c r="P136" s="790"/>
    </row>
    <row r="137" spans="2:32" x14ac:dyDescent="0.2">
      <c r="B137" s="75"/>
      <c r="C137" s="1433"/>
      <c r="D137" s="1433"/>
      <c r="E137" s="1433"/>
      <c r="F137" s="149">
        <v>3</v>
      </c>
      <c r="G137" s="151">
        <v>0</v>
      </c>
      <c r="H137" s="151">
        <f>+G137</f>
        <v>0</v>
      </c>
      <c r="I137" s="151">
        <f t="shared" si="34"/>
        <v>0</v>
      </c>
      <c r="J137" s="151">
        <f t="shared" si="34"/>
        <v>0</v>
      </c>
      <c r="K137" s="151">
        <f t="shared" si="34"/>
        <v>0</v>
      </c>
      <c r="L137" s="151">
        <f t="shared" si="34"/>
        <v>0</v>
      </c>
      <c r="M137" s="151">
        <f t="shared" si="34"/>
        <v>0</v>
      </c>
      <c r="N137" s="77"/>
      <c r="O137" s="190"/>
      <c r="P137" s="790"/>
      <c r="AD137" s="192"/>
      <c r="AE137" s="192"/>
      <c r="AF137" s="192"/>
    </row>
    <row r="138" spans="2:32" ht="12" customHeight="1" x14ac:dyDescent="0.2">
      <c r="B138" s="75"/>
      <c r="C138" s="1433"/>
      <c r="D138" s="1433"/>
      <c r="E138" s="1433"/>
      <c r="F138" s="149"/>
      <c r="G138" s="198"/>
      <c r="H138" s="70"/>
      <c r="I138" s="70"/>
      <c r="J138" s="70"/>
      <c r="K138" s="70"/>
      <c r="L138" s="70"/>
      <c r="M138" s="70"/>
      <c r="N138" s="77"/>
      <c r="O138" s="190"/>
    </row>
    <row r="139" spans="2:32" ht="12" customHeight="1" x14ac:dyDescent="0.2">
      <c r="B139" s="75"/>
      <c r="C139" s="1433"/>
      <c r="D139" s="1435" t="s">
        <v>765</v>
      </c>
      <c r="E139" s="1435"/>
      <c r="F139" s="149">
        <v>1</v>
      </c>
      <c r="G139" s="151">
        <v>0</v>
      </c>
      <c r="H139" s="151">
        <f t="shared" ref="H139:M139" si="35">G139</f>
        <v>0</v>
      </c>
      <c r="I139" s="151">
        <f t="shared" si="35"/>
        <v>0</v>
      </c>
      <c r="J139" s="151">
        <f t="shared" si="35"/>
        <v>0</v>
      </c>
      <c r="K139" s="151">
        <f t="shared" si="35"/>
        <v>0</v>
      </c>
      <c r="L139" s="151">
        <f t="shared" si="35"/>
        <v>0</v>
      </c>
      <c r="M139" s="151">
        <f t="shared" si="35"/>
        <v>0</v>
      </c>
      <c r="N139" s="77"/>
      <c r="O139" s="190"/>
    </row>
    <row r="140" spans="2:32" ht="12" customHeight="1" x14ac:dyDescent="0.2">
      <c r="B140" s="75"/>
      <c r="C140" s="1433"/>
      <c r="D140" s="1433"/>
      <c r="E140" s="1433"/>
      <c r="F140" s="149">
        <v>2</v>
      </c>
      <c r="G140" s="151">
        <v>0</v>
      </c>
      <c r="H140" s="151">
        <f>G140</f>
        <v>0</v>
      </c>
      <c r="I140" s="151">
        <f t="shared" ref="I140:K141" si="36">H140</f>
        <v>0</v>
      </c>
      <c r="J140" s="151">
        <f t="shared" si="36"/>
        <v>0</v>
      </c>
      <c r="K140" s="151">
        <f t="shared" si="36"/>
        <v>0</v>
      </c>
      <c r="L140" s="151">
        <f>K140</f>
        <v>0</v>
      </c>
      <c r="M140" s="151">
        <f>L140</f>
        <v>0</v>
      </c>
      <c r="N140" s="77"/>
      <c r="O140" s="190"/>
    </row>
    <row r="141" spans="2:32" ht="12" customHeight="1" x14ac:dyDescent="0.2">
      <c r="B141" s="75"/>
      <c r="C141" s="1433"/>
      <c r="D141" s="1433"/>
      <c r="E141" s="1433"/>
      <c r="F141" s="149">
        <v>3</v>
      </c>
      <c r="G141" s="151">
        <v>0</v>
      </c>
      <c r="H141" s="151">
        <f>G141</f>
        <v>0</v>
      </c>
      <c r="I141" s="151">
        <f t="shared" si="36"/>
        <v>0</v>
      </c>
      <c r="J141" s="151">
        <f t="shared" si="36"/>
        <v>0</v>
      </c>
      <c r="K141" s="151">
        <f t="shared" si="36"/>
        <v>0</v>
      </c>
      <c r="L141" s="151">
        <f>K141</f>
        <v>0</v>
      </c>
      <c r="M141" s="151">
        <f>L141</f>
        <v>0</v>
      </c>
      <c r="N141" s="77"/>
      <c r="O141" s="190"/>
      <c r="AC141" s="192"/>
    </row>
    <row r="142" spans="2:32" ht="12" customHeight="1" x14ac:dyDescent="0.2">
      <c r="B142" s="75"/>
      <c r="C142" s="1433"/>
      <c r="D142" s="1436"/>
      <c r="E142" s="1433"/>
      <c r="F142" s="149"/>
      <c r="G142" s="198"/>
      <c r="H142" s="70"/>
      <c r="I142" s="70"/>
      <c r="J142" s="70"/>
      <c r="K142" s="70"/>
      <c r="L142" s="70"/>
      <c r="M142" s="70"/>
      <c r="N142" s="77"/>
      <c r="O142" s="190"/>
    </row>
    <row r="143" spans="2:32" ht="12" customHeight="1" x14ac:dyDescent="0.2">
      <c r="B143" s="75"/>
      <c r="C143" s="1433"/>
      <c r="D143" s="1435" t="s">
        <v>766</v>
      </c>
      <c r="E143" s="1435"/>
      <c r="F143" s="149">
        <v>1</v>
      </c>
      <c r="G143" s="151">
        <v>0</v>
      </c>
      <c r="H143" s="151">
        <f t="shared" ref="H143:M143" si="37">G143</f>
        <v>0</v>
      </c>
      <c r="I143" s="151">
        <f t="shared" si="37"/>
        <v>0</v>
      </c>
      <c r="J143" s="151">
        <f t="shared" si="37"/>
        <v>0</v>
      </c>
      <c r="K143" s="151">
        <f t="shared" si="37"/>
        <v>0</v>
      </c>
      <c r="L143" s="151">
        <f t="shared" si="37"/>
        <v>0</v>
      </c>
      <c r="M143" s="151">
        <f t="shared" si="37"/>
        <v>0</v>
      </c>
      <c r="N143" s="77"/>
      <c r="O143" s="190"/>
      <c r="AC143" s="192"/>
    </row>
    <row r="144" spans="2:32" ht="12" customHeight="1" x14ac:dyDescent="0.2">
      <c r="B144" s="75"/>
      <c r="C144" s="1433"/>
      <c r="D144" s="1433"/>
      <c r="E144" s="1433"/>
      <c r="F144" s="149">
        <v>2</v>
      </c>
      <c r="G144" s="151">
        <v>0</v>
      </c>
      <c r="H144" s="151">
        <f>G144</f>
        <v>0</v>
      </c>
      <c r="I144" s="151">
        <f t="shared" ref="I144:K145" si="38">H144</f>
        <v>0</v>
      </c>
      <c r="J144" s="151">
        <f t="shared" si="38"/>
        <v>0</v>
      </c>
      <c r="K144" s="151">
        <f t="shared" si="38"/>
        <v>0</v>
      </c>
      <c r="L144" s="151">
        <f>K144</f>
        <v>0</v>
      </c>
      <c r="M144" s="151">
        <f>L144</f>
        <v>0</v>
      </c>
      <c r="N144" s="77"/>
      <c r="O144" s="190"/>
    </row>
    <row r="145" spans="2:32" ht="12" customHeight="1" x14ac:dyDescent="0.2">
      <c r="B145" s="75"/>
      <c r="C145" s="1433"/>
      <c r="D145" s="1433"/>
      <c r="E145" s="1433"/>
      <c r="F145" s="149">
        <v>3</v>
      </c>
      <c r="G145" s="151">
        <v>0</v>
      </c>
      <c r="H145" s="151">
        <f>G145</f>
        <v>0</v>
      </c>
      <c r="I145" s="151">
        <f t="shared" si="38"/>
        <v>0</v>
      </c>
      <c r="J145" s="151">
        <f t="shared" si="38"/>
        <v>0</v>
      </c>
      <c r="K145" s="151">
        <f t="shared" si="38"/>
        <v>0</v>
      </c>
      <c r="L145" s="151">
        <f>K145</f>
        <v>0</v>
      </c>
      <c r="M145" s="151">
        <f>L145</f>
        <v>0</v>
      </c>
      <c r="N145" s="77"/>
      <c r="O145" s="190"/>
    </row>
    <row r="146" spans="2:32" ht="12" customHeight="1" x14ac:dyDescent="0.2">
      <c r="B146" s="75"/>
      <c r="C146" s="1433"/>
      <c r="D146" s="1433"/>
      <c r="E146" s="1433"/>
      <c r="F146" s="149"/>
      <c r="G146" s="198"/>
      <c r="H146" s="70"/>
      <c r="I146" s="70"/>
      <c r="J146" s="70"/>
      <c r="K146" s="70"/>
      <c r="L146" s="70"/>
      <c r="M146" s="70"/>
      <c r="N146" s="77"/>
      <c r="O146" s="190"/>
      <c r="AD146" s="192"/>
      <c r="AE146" s="192"/>
      <c r="AF146" s="192"/>
    </row>
    <row r="147" spans="2:32" ht="12" customHeight="1" x14ac:dyDescent="0.2">
      <c r="B147" s="75"/>
      <c r="C147" s="1433"/>
      <c r="D147" s="1435" t="s">
        <v>767</v>
      </c>
      <c r="E147" s="1435"/>
      <c r="F147" s="149">
        <v>1</v>
      </c>
      <c r="G147" s="151">
        <v>0</v>
      </c>
      <c r="H147" s="151">
        <f t="shared" ref="H147:I149" si="39">+G147</f>
        <v>0</v>
      </c>
      <c r="I147" s="151">
        <f t="shared" si="39"/>
        <v>0</v>
      </c>
      <c r="J147" s="151">
        <f t="shared" ref="J147:M149" si="40">+I147</f>
        <v>0</v>
      </c>
      <c r="K147" s="151">
        <f t="shared" si="40"/>
        <v>0</v>
      </c>
      <c r="L147" s="151">
        <f t="shared" si="40"/>
        <v>0</v>
      </c>
      <c r="M147" s="151">
        <f t="shared" si="40"/>
        <v>0</v>
      </c>
      <c r="N147" s="77"/>
      <c r="O147" s="190"/>
    </row>
    <row r="148" spans="2:32" ht="12" customHeight="1" x14ac:dyDescent="0.2">
      <c r="B148" s="75"/>
      <c r="C148" s="1433"/>
      <c r="D148" s="1433"/>
      <c r="E148" s="1433"/>
      <c r="F148" s="149">
        <v>2</v>
      </c>
      <c r="G148" s="151">
        <v>0</v>
      </c>
      <c r="H148" s="151">
        <f t="shared" si="39"/>
        <v>0</v>
      </c>
      <c r="I148" s="151">
        <f t="shared" si="39"/>
        <v>0</v>
      </c>
      <c r="J148" s="151">
        <f t="shared" si="40"/>
        <v>0</v>
      </c>
      <c r="K148" s="151">
        <f t="shared" si="40"/>
        <v>0</v>
      </c>
      <c r="L148" s="151">
        <f t="shared" si="40"/>
        <v>0</v>
      </c>
      <c r="M148" s="151">
        <f t="shared" si="40"/>
        <v>0</v>
      </c>
      <c r="N148" s="77"/>
      <c r="O148" s="190"/>
    </row>
    <row r="149" spans="2:32" ht="12.75" customHeight="1" x14ac:dyDescent="0.2">
      <c r="B149" s="75"/>
      <c r="C149" s="1433"/>
      <c r="D149" s="1433"/>
      <c r="E149" s="1433"/>
      <c r="F149" s="149">
        <v>3</v>
      </c>
      <c r="G149" s="151">
        <v>0</v>
      </c>
      <c r="H149" s="151">
        <f t="shared" si="39"/>
        <v>0</v>
      </c>
      <c r="I149" s="151">
        <f t="shared" si="39"/>
        <v>0</v>
      </c>
      <c r="J149" s="151">
        <f t="shared" si="40"/>
        <v>0</v>
      </c>
      <c r="K149" s="151">
        <f t="shared" si="40"/>
        <v>0</v>
      </c>
      <c r="L149" s="151">
        <f t="shared" si="40"/>
        <v>0</v>
      </c>
      <c r="M149" s="151">
        <f t="shared" si="40"/>
        <v>0</v>
      </c>
      <c r="N149" s="77"/>
      <c r="O149" s="190"/>
    </row>
    <row r="150" spans="2:32" x14ac:dyDescent="0.2">
      <c r="B150" s="75"/>
      <c r="C150" s="1433"/>
      <c r="D150" s="1433"/>
      <c r="E150" s="1433"/>
      <c r="F150" s="149"/>
      <c r="G150" s="198"/>
      <c r="H150" s="70"/>
      <c r="I150" s="70"/>
      <c r="J150" s="70"/>
      <c r="K150" s="70"/>
      <c r="L150" s="70"/>
      <c r="M150" s="70"/>
      <c r="N150" s="77"/>
      <c r="O150" s="190"/>
    </row>
    <row r="151" spans="2:32" x14ac:dyDescent="0.2">
      <c r="B151" s="75"/>
      <c r="C151" s="1433"/>
      <c r="D151" s="1435" t="s">
        <v>768</v>
      </c>
      <c r="E151" s="1435"/>
      <c r="F151" s="149">
        <v>1</v>
      </c>
      <c r="G151" s="151">
        <v>0</v>
      </c>
      <c r="H151" s="151">
        <f t="shared" ref="H151:I153" si="41">+G151</f>
        <v>0</v>
      </c>
      <c r="I151" s="151">
        <f t="shared" si="41"/>
        <v>0</v>
      </c>
      <c r="J151" s="151">
        <f t="shared" ref="J151:M153" si="42">+I151</f>
        <v>0</v>
      </c>
      <c r="K151" s="151">
        <f t="shared" si="42"/>
        <v>0</v>
      </c>
      <c r="L151" s="151">
        <f t="shared" si="42"/>
        <v>0</v>
      </c>
      <c r="M151" s="151">
        <f t="shared" si="42"/>
        <v>0</v>
      </c>
      <c r="N151" s="77"/>
      <c r="O151" s="190"/>
      <c r="AD151" s="192"/>
      <c r="AE151" s="192"/>
      <c r="AF151" s="192"/>
    </row>
    <row r="152" spans="2:32" x14ac:dyDescent="0.2">
      <c r="B152" s="75"/>
      <c r="C152" s="1433"/>
      <c r="D152" s="1433"/>
      <c r="E152" s="1433"/>
      <c r="F152" s="149">
        <v>2</v>
      </c>
      <c r="G152" s="151">
        <v>0</v>
      </c>
      <c r="H152" s="151">
        <f t="shared" si="41"/>
        <v>0</v>
      </c>
      <c r="I152" s="151">
        <f t="shared" si="41"/>
        <v>0</v>
      </c>
      <c r="J152" s="151">
        <f t="shared" si="42"/>
        <v>0</v>
      </c>
      <c r="K152" s="151">
        <f t="shared" si="42"/>
        <v>0</v>
      </c>
      <c r="L152" s="151">
        <f t="shared" si="42"/>
        <v>0</v>
      </c>
      <c r="M152" s="151">
        <f t="shared" si="42"/>
        <v>0</v>
      </c>
      <c r="N152" s="77"/>
      <c r="O152" s="190"/>
    </row>
    <row r="153" spans="2:32" x14ac:dyDescent="0.2">
      <c r="B153" s="75"/>
      <c r="C153" s="1433"/>
      <c r="D153" s="1433"/>
      <c r="E153" s="1433"/>
      <c r="F153" s="149">
        <v>3</v>
      </c>
      <c r="G153" s="151">
        <v>0</v>
      </c>
      <c r="H153" s="151">
        <f t="shared" si="41"/>
        <v>0</v>
      </c>
      <c r="I153" s="151">
        <f t="shared" si="41"/>
        <v>0</v>
      </c>
      <c r="J153" s="151">
        <f t="shared" si="42"/>
        <v>0</v>
      </c>
      <c r="K153" s="151">
        <f t="shared" si="42"/>
        <v>0</v>
      </c>
      <c r="L153" s="151">
        <f t="shared" si="42"/>
        <v>0</v>
      </c>
      <c r="M153" s="151">
        <f t="shared" si="42"/>
        <v>0</v>
      </c>
      <c r="N153" s="77"/>
      <c r="O153" s="190"/>
    </row>
    <row r="154" spans="2:32" x14ac:dyDescent="0.2">
      <c r="B154" s="75"/>
      <c r="C154" s="1433"/>
      <c r="D154" s="1433"/>
      <c r="E154" s="1433"/>
      <c r="F154" s="149"/>
      <c r="G154" s="198"/>
      <c r="H154" s="70"/>
      <c r="I154" s="70"/>
      <c r="J154" s="70"/>
      <c r="K154" s="70"/>
      <c r="L154" s="70"/>
      <c r="M154" s="70"/>
      <c r="N154" s="77"/>
      <c r="O154" s="190"/>
    </row>
    <row r="155" spans="2:32" x14ac:dyDescent="0.2">
      <c r="B155" s="75"/>
      <c r="C155" s="1433"/>
      <c r="D155" s="1435" t="s">
        <v>769</v>
      </c>
      <c r="E155" s="1435"/>
      <c r="F155" s="149">
        <v>1</v>
      </c>
      <c r="G155" s="151">
        <v>0</v>
      </c>
      <c r="H155" s="151">
        <f t="shared" ref="H155:M155" si="43">G155</f>
        <v>0</v>
      </c>
      <c r="I155" s="151">
        <f t="shared" si="43"/>
        <v>0</v>
      </c>
      <c r="J155" s="151">
        <f t="shared" si="43"/>
        <v>0</v>
      </c>
      <c r="K155" s="151">
        <f t="shared" si="43"/>
        <v>0</v>
      </c>
      <c r="L155" s="151">
        <f t="shared" si="43"/>
        <v>0</v>
      </c>
      <c r="M155" s="151">
        <f t="shared" si="43"/>
        <v>0</v>
      </c>
      <c r="N155" s="77"/>
      <c r="O155" s="190"/>
      <c r="AC155" s="192"/>
    </row>
    <row r="156" spans="2:32" x14ac:dyDescent="0.2">
      <c r="B156" s="75"/>
      <c r="C156" s="1433"/>
      <c r="D156" s="1433"/>
      <c r="E156" s="1433"/>
      <c r="F156" s="149">
        <v>2</v>
      </c>
      <c r="G156" s="151">
        <v>0</v>
      </c>
      <c r="H156" s="151">
        <f>G156</f>
        <v>0</v>
      </c>
      <c r="I156" s="151">
        <f t="shared" ref="I156:K157" si="44">H156</f>
        <v>0</v>
      </c>
      <c r="J156" s="151">
        <f t="shared" si="44"/>
        <v>0</v>
      </c>
      <c r="K156" s="151">
        <f t="shared" si="44"/>
        <v>0</v>
      </c>
      <c r="L156" s="151">
        <f>K156</f>
        <v>0</v>
      </c>
      <c r="M156" s="151">
        <f>L156</f>
        <v>0</v>
      </c>
      <c r="N156" s="77"/>
      <c r="O156" s="190"/>
      <c r="AD156" s="192"/>
      <c r="AE156" s="192"/>
      <c r="AF156" s="192"/>
    </row>
    <row r="157" spans="2:32" x14ac:dyDescent="0.2">
      <c r="B157" s="75"/>
      <c r="C157" s="1433"/>
      <c r="D157" s="1433"/>
      <c r="E157" s="1433"/>
      <c r="F157" s="149">
        <v>3</v>
      </c>
      <c r="G157" s="151">
        <v>0</v>
      </c>
      <c r="H157" s="151">
        <f>G157</f>
        <v>0</v>
      </c>
      <c r="I157" s="151">
        <f t="shared" si="44"/>
        <v>0</v>
      </c>
      <c r="J157" s="151">
        <f t="shared" si="44"/>
        <v>0</v>
      </c>
      <c r="K157" s="151">
        <f t="shared" si="44"/>
        <v>0</v>
      </c>
      <c r="L157" s="151">
        <f>K157</f>
        <v>0</v>
      </c>
      <c r="M157" s="151">
        <f>L157</f>
        <v>0</v>
      </c>
      <c r="N157" s="77"/>
      <c r="O157" s="190"/>
    </row>
    <row r="158" spans="2:32" x14ac:dyDescent="0.2">
      <c r="B158" s="75"/>
      <c r="C158" s="1433"/>
      <c r="D158" s="1433"/>
      <c r="E158" s="1433"/>
      <c r="F158" s="149"/>
      <c r="G158" s="198"/>
      <c r="H158" s="70"/>
      <c r="I158" s="70"/>
      <c r="J158" s="70"/>
      <c r="K158" s="70"/>
      <c r="L158" s="70"/>
      <c r="M158" s="70"/>
      <c r="N158" s="77"/>
      <c r="O158" s="190"/>
    </row>
    <row r="159" spans="2:32" x14ac:dyDescent="0.2">
      <c r="B159" s="75"/>
      <c r="C159" s="1433"/>
      <c r="D159" s="1435" t="s">
        <v>770</v>
      </c>
      <c r="E159" s="1435"/>
      <c r="F159" s="149">
        <v>1</v>
      </c>
      <c r="G159" s="151">
        <v>0</v>
      </c>
      <c r="H159" s="151">
        <f t="shared" ref="H159:M159" si="45">G159</f>
        <v>0</v>
      </c>
      <c r="I159" s="151">
        <f t="shared" si="45"/>
        <v>0</v>
      </c>
      <c r="J159" s="151">
        <f t="shared" si="45"/>
        <v>0</v>
      </c>
      <c r="K159" s="151">
        <f t="shared" si="45"/>
        <v>0</v>
      </c>
      <c r="L159" s="151">
        <f t="shared" si="45"/>
        <v>0</v>
      </c>
      <c r="M159" s="151">
        <f t="shared" si="45"/>
        <v>0</v>
      </c>
      <c r="N159" s="77"/>
      <c r="O159" s="190"/>
    </row>
    <row r="160" spans="2:32" x14ac:dyDescent="0.2">
      <c r="B160" s="75"/>
      <c r="C160" s="1433"/>
      <c r="D160" s="1433"/>
      <c r="E160" s="1433"/>
      <c r="F160" s="149">
        <v>2</v>
      </c>
      <c r="G160" s="151">
        <v>0</v>
      </c>
      <c r="H160" s="151">
        <f>+G160</f>
        <v>0</v>
      </c>
      <c r="I160" s="151">
        <f t="shared" ref="I160:M161" si="46">+H160</f>
        <v>0</v>
      </c>
      <c r="J160" s="151">
        <f t="shared" si="46"/>
        <v>0</v>
      </c>
      <c r="K160" s="151">
        <f t="shared" si="46"/>
        <v>0</v>
      </c>
      <c r="L160" s="151">
        <f t="shared" si="46"/>
        <v>0</v>
      </c>
      <c r="M160" s="151">
        <f t="shared" si="46"/>
        <v>0</v>
      </c>
      <c r="N160" s="77"/>
      <c r="O160" s="190"/>
    </row>
    <row r="161" spans="2:51" x14ac:dyDescent="0.2">
      <c r="B161" s="75"/>
      <c r="C161" s="1433"/>
      <c r="D161" s="1433"/>
      <c r="E161" s="1433"/>
      <c r="F161" s="149">
        <v>3</v>
      </c>
      <c r="G161" s="151">
        <v>0</v>
      </c>
      <c r="H161" s="151">
        <f>+G161</f>
        <v>0</v>
      </c>
      <c r="I161" s="151">
        <f t="shared" si="46"/>
        <v>0</v>
      </c>
      <c r="J161" s="151">
        <f t="shared" si="46"/>
        <v>0</v>
      </c>
      <c r="K161" s="151">
        <f t="shared" si="46"/>
        <v>0</v>
      </c>
      <c r="L161" s="151">
        <f t="shared" si="46"/>
        <v>0</v>
      </c>
      <c r="M161" s="151">
        <f t="shared" si="46"/>
        <v>0</v>
      </c>
      <c r="N161" s="77"/>
      <c r="O161" s="190"/>
    </row>
    <row r="162" spans="2:51" x14ac:dyDescent="0.2">
      <c r="B162" s="75"/>
      <c r="C162" s="1433"/>
      <c r="D162" s="1433"/>
      <c r="E162" s="1433"/>
      <c r="F162" s="149"/>
      <c r="G162" s="198"/>
      <c r="H162" s="70"/>
      <c r="I162" s="70"/>
      <c r="J162" s="70"/>
      <c r="K162" s="70"/>
      <c r="L162" s="70"/>
      <c r="M162" s="70"/>
      <c r="N162" s="77"/>
      <c r="O162" s="190"/>
      <c r="P162" s="682"/>
      <c r="Q162" s="682"/>
      <c r="R162" s="682"/>
      <c r="S162" s="682"/>
      <c r="T162" s="682"/>
      <c r="U162" s="682"/>
      <c r="V162" s="682"/>
      <c r="W162" s="682"/>
      <c r="X162" s="682"/>
      <c r="Y162" s="682"/>
      <c r="Z162" s="682"/>
      <c r="AA162" s="682"/>
      <c r="AB162" s="682"/>
      <c r="AC162" s="682"/>
      <c r="AD162" s="682"/>
      <c r="AE162" s="682"/>
      <c r="AF162" s="682"/>
      <c r="AG162" s="682"/>
    </row>
    <row r="163" spans="2:51" x14ac:dyDescent="0.2">
      <c r="B163" s="75"/>
      <c r="C163" s="1433"/>
      <c r="D163" s="1435" t="s">
        <v>617</v>
      </c>
      <c r="E163" s="1435"/>
      <c r="F163" s="149">
        <v>1</v>
      </c>
      <c r="G163" s="151">
        <v>0</v>
      </c>
      <c r="H163" s="151">
        <f t="shared" ref="H163:I165" si="47">+G163</f>
        <v>0</v>
      </c>
      <c r="I163" s="151">
        <f t="shared" si="47"/>
        <v>0</v>
      </c>
      <c r="J163" s="151">
        <f t="shared" ref="J163:M165" si="48">+I163</f>
        <v>0</v>
      </c>
      <c r="K163" s="151">
        <f t="shared" si="48"/>
        <v>0</v>
      </c>
      <c r="L163" s="151">
        <f t="shared" si="48"/>
        <v>0</v>
      </c>
      <c r="M163" s="151">
        <f t="shared" si="48"/>
        <v>0</v>
      </c>
      <c r="N163" s="77"/>
      <c r="O163" s="603"/>
      <c r="P163" s="682"/>
      <c r="Q163" s="682"/>
      <c r="R163" s="682"/>
      <c r="S163" s="682"/>
      <c r="T163" s="682"/>
      <c r="U163" s="792"/>
      <c r="V163" s="792"/>
      <c r="W163" s="682"/>
      <c r="X163" s="793"/>
      <c r="Y163" s="792"/>
      <c r="Z163" s="792"/>
      <c r="AA163" s="792"/>
      <c r="AB163" s="792"/>
      <c r="AC163" s="792"/>
      <c r="AD163" s="792"/>
      <c r="AE163" s="682"/>
      <c r="AF163" s="682"/>
      <c r="AG163" s="682"/>
      <c r="AY163" s="169"/>
    </row>
    <row r="164" spans="2:51" x14ac:dyDescent="0.2">
      <c r="B164" s="75"/>
      <c r="C164" s="1433"/>
      <c r="D164" s="1433"/>
      <c r="E164" s="1433"/>
      <c r="F164" s="149">
        <v>2</v>
      </c>
      <c r="G164" s="151">
        <v>0</v>
      </c>
      <c r="H164" s="151">
        <f t="shared" si="47"/>
        <v>0</v>
      </c>
      <c r="I164" s="151">
        <f t="shared" si="47"/>
        <v>0</v>
      </c>
      <c r="J164" s="151">
        <f t="shared" si="48"/>
        <v>0</v>
      </c>
      <c r="K164" s="151">
        <f t="shared" si="48"/>
        <v>0</v>
      </c>
      <c r="L164" s="151">
        <f t="shared" si="48"/>
        <v>0</v>
      </c>
      <c r="M164" s="151">
        <f t="shared" si="48"/>
        <v>0</v>
      </c>
      <c r="N164" s="77"/>
      <c r="O164" s="603"/>
      <c r="P164" s="682"/>
      <c r="Q164" s="682"/>
      <c r="R164" s="682"/>
      <c r="S164" s="682"/>
      <c r="T164" s="682"/>
      <c r="U164" s="792"/>
      <c r="V164" s="792"/>
      <c r="W164" s="682"/>
      <c r="X164" s="793"/>
      <c r="Y164" s="792"/>
      <c r="Z164" s="792"/>
      <c r="AA164" s="792"/>
      <c r="AB164" s="792"/>
      <c r="AC164" s="792"/>
      <c r="AD164" s="792"/>
      <c r="AE164" s="682"/>
      <c r="AF164" s="682"/>
      <c r="AG164" s="682"/>
    </row>
    <row r="165" spans="2:51" x14ac:dyDescent="0.2">
      <c r="B165" s="75"/>
      <c r="C165" s="1433"/>
      <c r="D165" s="1433"/>
      <c r="E165" s="1433"/>
      <c r="F165" s="149">
        <v>3</v>
      </c>
      <c r="G165" s="151">
        <v>0</v>
      </c>
      <c r="H165" s="151">
        <f t="shared" si="47"/>
        <v>0</v>
      </c>
      <c r="I165" s="151">
        <f t="shared" si="47"/>
        <v>0</v>
      </c>
      <c r="J165" s="151">
        <f t="shared" si="48"/>
        <v>0</v>
      </c>
      <c r="K165" s="151">
        <f t="shared" si="48"/>
        <v>0</v>
      </c>
      <c r="L165" s="151">
        <f t="shared" si="48"/>
        <v>0</v>
      </c>
      <c r="M165" s="151">
        <f t="shared" si="48"/>
        <v>0</v>
      </c>
      <c r="N165" s="77"/>
      <c r="O165" s="603"/>
      <c r="P165" s="682"/>
      <c r="Q165" s="682"/>
      <c r="R165" s="682"/>
      <c r="S165" s="682"/>
      <c r="T165" s="682"/>
      <c r="U165" s="792"/>
      <c r="V165" s="792"/>
      <c r="W165" s="682"/>
      <c r="X165" s="793"/>
      <c r="Y165" s="792"/>
      <c r="Z165" s="792"/>
      <c r="AA165" s="792"/>
      <c r="AB165" s="792"/>
      <c r="AC165" s="792"/>
      <c r="AD165" s="792"/>
      <c r="AE165" s="682"/>
      <c r="AF165" s="682"/>
      <c r="AG165" s="682"/>
    </row>
    <row r="166" spans="2:51" x14ac:dyDescent="0.2">
      <c r="B166" s="75"/>
      <c r="C166" s="1433"/>
      <c r="D166" s="1433"/>
      <c r="E166" s="1433"/>
      <c r="F166" s="149"/>
      <c r="G166" s="198"/>
      <c r="H166" s="70"/>
      <c r="I166" s="70"/>
      <c r="J166" s="70"/>
      <c r="K166" s="70"/>
      <c r="L166" s="70"/>
      <c r="M166" s="70"/>
      <c r="N166" s="77"/>
      <c r="O166" s="603"/>
      <c r="P166" s="682"/>
      <c r="Q166" s="682"/>
      <c r="R166" s="682"/>
      <c r="S166" s="682"/>
      <c r="T166" s="682"/>
      <c r="U166" s="792"/>
      <c r="V166" s="792"/>
      <c r="W166" s="682"/>
      <c r="X166" s="794"/>
      <c r="Y166" s="794"/>
      <c r="Z166" s="794"/>
      <c r="AA166" s="794"/>
      <c r="AB166" s="794"/>
      <c r="AC166" s="794"/>
      <c r="AD166" s="794"/>
      <c r="AE166" s="682"/>
      <c r="AF166" s="682"/>
      <c r="AG166" s="682"/>
    </row>
    <row r="167" spans="2:51" x14ac:dyDescent="0.2">
      <c r="B167" s="75"/>
      <c r="C167" s="1433"/>
      <c r="D167" s="1435" t="s">
        <v>618</v>
      </c>
      <c r="E167" s="1435"/>
      <c r="F167" s="149">
        <v>1</v>
      </c>
      <c r="G167" s="151">
        <v>0</v>
      </c>
      <c r="H167" s="151">
        <f t="shared" ref="H167:I169" si="49">+G167</f>
        <v>0</v>
      </c>
      <c r="I167" s="151">
        <f t="shared" si="49"/>
        <v>0</v>
      </c>
      <c r="J167" s="151">
        <f t="shared" ref="J167:M169" si="50">+I167</f>
        <v>0</v>
      </c>
      <c r="K167" s="151">
        <f t="shared" si="50"/>
        <v>0</v>
      </c>
      <c r="L167" s="151">
        <f t="shared" si="50"/>
        <v>0</v>
      </c>
      <c r="M167" s="151">
        <f t="shared" si="50"/>
        <v>0</v>
      </c>
      <c r="N167" s="77"/>
      <c r="O167" s="603"/>
      <c r="P167" s="682"/>
      <c r="Q167" s="682"/>
      <c r="R167" s="682"/>
      <c r="S167" s="682"/>
      <c r="T167" s="682"/>
      <c r="U167" s="682"/>
      <c r="V167" s="682"/>
      <c r="W167" s="682"/>
      <c r="X167" s="682"/>
      <c r="Y167" s="682"/>
      <c r="Z167" s="682"/>
      <c r="AA167" s="682"/>
      <c r="AB167" s="682"/>
      <c r="AC167" s="682"/>
      <c r="AD167" s="682"/>
      <c r="AE167" s="682"/>
      <c r="AF167" s="682"/>
      <c r="AG167" s="682"/>
    </row>
    <row r="168" spans="2:51" x14ac:dyDescent="0.2">
      <c r="B168" s="75"/>
      <c r="C168" s="1433"/>
      <c r="D168" s="1433"/>
      <c r="E168" s="1433"/>
      <c r="F168" s="149">
        <v>2</v>
      </c>
      <c r="G168" s="151">
        <v>0</v>
      </c>
      <c r="H168" s="151">
        <f t="shared" si="49"/>
        <v>0</v>
      </c>
      <c r="I168" s="151">
        <f t="shared" si="49"/>
        <v>0</v>
      </c>
      <c r="J168" s="151">
        <f t="shared" si="50"/>
        <v>0</v>
      </c>
      <c r="K168" s="151">
        <f t="shared" si="50"/>
        <v>0</v>
      </c>
      <c r="L168" s="151">
        <f t="shared" si="50"/>
        <v>0</v>
      </c>
      <c r="M168" s="151">
        <f t="shared" si="50"/>
        <v>0</v>
      </c>
      <c r="N168" s="77"/>
      <c r="O168" s="603"/>
    </row>
    <row r="169" spans="2:51" x14ac:dyDescent="0.2">
      <c r="B169" s="75"/>
      <c r="C169" s="1433"/>
      <c r="D169" s="1433"/>
      <c r="E169" s="1433"/>
      <c r="F169" s="149">
        <v>3</v>
      </c>
      <c r="G169" s="151">
        <v>0</v>
      </c>
      <c r="H169" s="151">
        <f t="shared" si="49"/>
        <v>0</v>
      </c>
      <c r="I169" s="151">
        <f t="shared" si="49"/>
        <v>0</v>
      </c>
      <c r="J169" s="151">
        <f t="shared" si="50"/>
        <v>0</v>
      </c>
      <c r="K169" s="151">
        <f t="shared" si="50"/>
        <v>0</v>
      </c>
      <c r="L169" s="151">
        <f t="shared" si="50"/>
        <v>0</v>
      </c>
      <c r="M169" s="151">
        <f t="shared" si="50"/>
        <v>0</v>
      </c>
      <c r="N169" s="77"/>
      <c r="O169" s="603"/>
    </row>
    <row r="170" spans="2:51" x14ac:dyDescent="0.2">
      <c r="B170" s="75"/>
      <c r="C170" s="1433"/>
      <c r="D170" s="1433"/>
      <c r="E170" s="1433"/>
      <c r="F170" s="149"/>
      <c r="G170" s="198"/>
      <c r="H170" s="70"/>
      <c r="I170" s="70"/>
      <c r="J170" s="70"/>
      <c r="K170" s="70"/>
      <c r="L170" s="70"/>
      <c r="M170" s="70"/>
      <c r="N170" s="77"/>
      <c r="O170" s="603"/>
      <c r="AG170" s="192"/>
    </row>
    <row r="171" spans="2:51" x14ac:dyDescent="0.2">
      <c r="B171" s="75"/>
      <c r="C171" s="1433"/>
      <c r="D171" s="1435" t="s">
        <v>619</v>
      </c>
      <c r="E171" s="1435"/>
      <c r="F171" s="149">
        <v>1</v>
      </c>
      <c r="G171" s="151">
        <v>0</v>
      </c>
      <c r="H171" s="151">
        <f t="shared" ref="H171:I173" si="51">+G171</f>
        <v>0</v>
      </c>
      <c r="I171" s="151">
        <f t="shared" si="51"/>
        <v>0</v>
      </c>
      <c r="J171" s="151">
        <f t="shared" ref="J171:M173" si="52">+I171</f>
        <v>0</v>
      </c>
      <c r="K171" s="151">
        <f t="shared" si="52"/>
        <v>0</v>
      </c>
      <c r="L171" s="151">
        <f t="shared" si="52"/>
        <v>0</v>
      </c>
      <c r="M171" s="151">
        <f t="shared" si="52"/>
        <v>0</v>
      </c>
      <c r="N171" s="77"/>
      <c r="O171" s="603"/>
    </row>
    <row r="172" spans="2:51" x14ac:dyDescent="0.2">
      <c r="B172" s="75"/>
      <c r="C172" s="1433"/>
      <c r="D172" s="1433"/>
      <c r="E172" s="1433"/>
      <c r="F172" s="149">
        <v>2</v>
      </c>
      <c r="G172" s="151">
        <v>0</v>
      </c>
      <c r="H172" s="151">
        <f t="shared" si="51"/>
        <v>0</v>
      </c>
      <c r="I172" s="151">
        <f t="shared" si="51"/>
        <v>0</v>
      </c>
      <c r="J172" s="151">
        <f t="shared" si="52"/>
        <v>0</v>
      </c>
      <c r="K172" s="151">
        <f t="shared" si="52"/>
        <v>0</v>
      </c>
      <c r="L172" s="151">
        <f t="shared" si="52"/>
        <v>0</v>
      </c>
      <c r="M172" s="151">
        <f t="shared" si="52"/>
        <v>0</v>
      </c>
      <c r="N172" s="77"/>
      <c r="O172" s="603"/>
    </row>
    <row r="173" spans="2:51" x14ac:dyDescent="0.2">
      <c r="B173" s="75"/>
      <c r="C173" s="1433"/>
      <c r="D173" s="1433"/>
      <c r="E173" s="1433"/>
      <c r="F173" s="149">
        <v>3</v>
      </c>
      <c r="G173" s="151">
        <v>0</v>
      </c>
      <c r="H173" s="151">
        <f t="shared" si="51"/>
        <v>0</v>
      </c>
      <c r="I173" s="151">
        <f t="shared" si="51"/>
        <v>0</v>
      </c>
      <c r="J173" s="151">
        <f t="shared" si="52"/>
        <v>0</v>
      </c>
      <c r="K173" s="151">
        <f t="shared" si="52"/>
        <v>0</v>
      </c>
      <c r="L173" s="151">
        <f t="shared" si="52"/>
        <v>0</v>
      </c>
      <c r="M173" s="151">
        <f t="shared" si="52"/>
        <v>0</v>
      </c>
      <c r="N173" s="77"/>
      <c r="O173" s="603"/>
    </row>
    <row r="174" spans="2:51" x14ac:dyDescent="0.2">
      <c r="B174" s="75"/>
      <c r="C174" s="1433"/>
      <c r="D174" s="1433"/>
      <c r="E174" s="1433"/>
      <c r="F174" s="149"/>
      <c r="G174" s="198"/>
      <c r="H174" s="70"/>
      <c r="I174" s="70"/>
      <c r="J174" s="70"/>
      <c r="K174" s="70"/>
      <c r="L174" s="70"/>
      <c r="M174" s="70"/>
      <c r="N174" s="77"/>
      <c r="O174" s="603"/>
      <c r="P174" s="192"/>
    </row>
    <row r="175" spans="2:51" x14ac:dyDescent="0.2">
      <c r="B175" s="75"/>
      <c r="C175" s="1433"/>
      <c r="D175" s="1435" t="s">
        <v>516</v>
      </c>
      <c r="E175" s="1435"/>
      <c r="F175" s="149">
        <v>1</v>
      </c>
      <c r="G175" s="151">
        <v>0</v>
      </c>
      <c r="H175" s="151">
        <f t="shared" ref="H175:I177" si="53">+G175</f>
        <v>0</v>
      </c>
      <c r="I175" s="151">
        <f t="shared" si="53"/>
        <v>0</v>
      </c>
      <c r="J175" s="151">
        <f t="shared" ref="J175:M177" si="54">+I175</f>
        <v>0</v>
      </c>
      <c r="K175" s="151">
        <f t="shared" si="54"/>
        <v>0</v>
      </c>
      <c r="L175" s="151">
        <f t="shared" si="54"/>
        <v>0</v>
      </c>
      <c r="M175" s="151">
        <f t="shared" si="54"/>
        <v>0</v>
      </c>
      <c r="N175" s="77"/>
      <c r="O175" s="603"/>
    </row>
    <row r="176" spans="2:51" x14ac:dyDescent="0.2">
      <c r="B176" s="75"/>
      <c r="C176" s="1433"/>
      <c r="D176" s="1433"/>
      <c r="E176" s="1433"/>
      <c r="F176" s="149">
        <v>2</v>
      </c>
      <c r="G176" s="151">
        <v>0</v>
      </c>
      <c r="H176" s="151">
        <f t="shared" si="53"/>
        <v>0</v>
      </c>
      <c r="I176" s="151">
        <f t="shared" si="53"/>
        <v>0</v>
      </c>
      <c r="J176" s="151">
        <f t="shared" si="54"/>
        <v>0</v>
      </c>
      <c r="K176" s="151">
        <f t="shared" si="54"/>
        <v>0</v>
      </c>
      <c r="L176" s="151">
        <f t="shared" si="54"/>
        <v>0</v>
      </c>
      <c r="M176" s="151">
        <f t="shared" si="54"/>
        <v>0</v>
      </c>
      <c r="N176" s="77"/>
      <c r="O176" s="603"/>
    </row>
    <row r="177" spans="2:15" x14ac:dyDescent="0.2">
      <c r="B177" s="75"/>
      <c r="C177" s="1433"/>
      <c r="D177" s="1433"/>
      <c r="E177" s="1433"/>
      <c r="F177" s="149">
        <v>3</v>
      </c>
      <c r="G177" s="151">
        <v>0</v>
      </c>
      <c r="H177" s="151">
        <f t="shared" si="53"/>
        <v>0</v>
      </c>
      <c r="I177" s="151">
        <f t="shared" si="53"/>
        <v>0</v>
      </c>
      <c r="J177" s="151">
        <f t="shared" si="54"/>
        <v>0</v>
      </c>
      <c r="K177" s="151">
        <f t="shared" si="54"/>
        <v>0</v>
      </c>
      <c r="L177" s="151">
        <f t="shared" si="54"/>
        <v>0</v>
      </c>
      <c r="M177" s="151">
        <f t="shared" si="54"/>
        <v>0</v>
      </c>
      <c r="N177" s="77"/>
      <c r="O177" s="190"/>
    </row>
    <row r="178" spans="2:15" x14ac:dyDescent="0.2">
      <c r="B178" s="75"/>
      <c r="C178" s="1433"/>
      <c r="D178" s="1433"/>
      <c r="E178" s="1433"/>
      <c r="F178" s="149"/>
      <c r="G178" s="198"/>
      <c r="H178" s="70"/>
      <c r="I178" s="70"/>
      <c r="J178" s="70"/>
      <c r="K178" s="70"/>
      <c r="L178" s="70"/>
      <c r="M178" s="70"/>
      <c r="N178" s="77"/>
      <c r="O178" s="190"/>
    </row>
    <row r="179" spans="2:15" x14ac:dyDescent="0.2">
      <c r="B179" s="75"/>
      <c r="C179" s="1433"/>
      <c r="D179" s="1435" t="s">
        <v>517</v>
      </c>
      <c r="E179" s="1435"/>
      <c r="F179" s="149">
        <v>1</v>
      </c>
      <c r="G179" s="151">
        <v>0</v>
      </c>
      <c r="H179" s="151">
        <f t="shared" ref="H179:I181" si="55">+G179</f>
        <v>0</v>
      </c>
      <c r="I179" s="151">
        <f t="shared" si="55"/>
        <v>0</v>
      </c>
      <c r="J179" s="151">
        <f t="shared" ref="J179:M181" si="56">+I179</f>
        <v>0</v>
      </c>
      <c r="K179" s="151">
        <f t="shared" si="56"/>
        <v>0</v>
      </c>
      <c r="L179" s="151">
        <f t="shared" si="56"/>
        <v>0</v>
      </c>
      <c r="M179" s="151">
        <f t="shared" si="56"/>
        <v>0</v>
      </c>
      <c r="N179" s="77"/>
      <c r="O179" s="190"/>
    </row>
    <row r="180" spans="2:15" x14ac:dyDescent="0.2">
      <c r="B180" s="75"/>
      <c r="C180" s="1433"/>
      <c r="D180" s="1433"/>
      <c r="E180" s="1433"/>
      <c r="F180" s="149">
        <v>2</v>
      </c>
      <c r="G180" s="151">
        <v>0</v>
      </c>
      <c r="H180" s="151">
        <f t="shared" si="55"/>
        <v>0</v>
      </c>
      <c r="I180" s="151">
        <f t="shared" si="55"/>
        <v>0</v>
      </c>
      <c r="J180" s="151">
        <f t="shared" si="56"/>
        <v>0</v>
      </c>
      <c r="K180" s="151">
        <f t="shared" si="56"/>
        <v>0</v>
      </c>
      <c r="L180" s="151">
        <f t="shared" si="56"/>
        <v>0</v>
      </c>
      <c r="M180" s="151">
        <f t="shared" si="56"/>
        <v>0</v>
      </c>
      <c r="N180" s="77"/>
      <c r="O180" s="190"/>
    </row>
    <row r="181" spans="2:15" x14ac:dyDescent="0.2">
      <c r="B181" s="75"/>
      <c r="C181" s="1433"/>
      <c r="D181" s="1433"/>
      <c r="E181" s="1433"/>
      <c r="F181" s="149">
        <v>3</v>
      </c>
      <c r="G181" s="151">
        <v>0</v>
      </c>
      <c r="H181" s="151">
        <f t="shared" si="55"/>
        <v>0</v>
      </c>
      <c r="I181" s="151">
        <f t="shared" si="55"/>
        <v>0</v>
      </c>
      <c r="J181" s="151">
        <f t="shared" si="56"/>
        <v>0</v>
      </c>
      <c r="K181" s="151">
        <f t="shared" si="56"/>
        <v>0</v>
      </c>
      <c r="L181" s="151">
        <f t="shared" si="56"/>
        <v>0</v>
      </c>
      <c r="M181" s="151">
        <f t="shared" si="56"/>
        <v>0</v>
      </c>
      <c r="N181" s="77"/>
      <c r="O181" s="190"/>
    </row>
    <row r="182" spans="2:15" x14ac:dyDescent="0.2">
      <c r="B182" s="75"/>
      <c r="C182" s="1433"/>
      <c r="D182" s="1433"/>
      <c r="E182" s="1433"/>
      <c r="F182" s="149"/>
      <c r="G182" s="198"/>
      <c r="H182" s="70"/>
      <c r="I182" s="70"/>
      <c r="J182" s="70"/>
      <c r="K182" s="70"/>
      <c r="L182" s="70"/>
      <c r="M182" s="70"/>
      <c r="N182" s="77"/>
      <c r="O182" s="190"/>
    </row>
    <row r="183" spans="2:15" x14ac:dyDescent="0.2">
      <c r="B183" s="75"/>
      <c r="C183" s="1433"/>
      <c r="D183" s="1435" t="s">
        <v>518</v>
      </c>
      <c r="E183" s="1437"/>
      <c r="F183" s="149">
        <v>1</v>
      </c>
      <c r="G183" s="151">
        <v>0</v>
      </c>
      <c r="H183" s="151">
        <f t="shared" ref="H183:I185" si="57">+G183</f>
        <v>0</v>
      </c>
      <c r="I183" s="151">
        <f t="shared" si="57"/>
        <v>0</v>
      </c>
      <c r="J183" s="151">
        <f t="shared" ref="J183:M185" si="58">+I183</f>
        <v>0</v>
      </c>
      <c r="K183" s="151">
        <f t="shared" si="58"/>
        <v>0</v>
      </c>
      <c r="L183" s="151">
        <f t="shared" si="58"/>
        <v>0</v>
      </c>
      <c r="M183" s="151">
        <f t="shared" si="58"/>
        <v>0</v>
      </c>
      <c r="N183" s="77"/>
      <c r="O183" s="190"/>
    </row>
    <row r="184" spans="2:15" x14ac:dyDescent="0.2">
      <c r="B184" s="75"/>
      <c r="C184" s="1433"/>
      <c r="D184" s="1433"/>
      <c r="E184" s="1433"/>
      <c r="F184" s="149">
        <v>2</v>
      </c>
      <c r="G184" s="151">
        <v>0</v>
      </c>
      <c r="H184" s="151">
        <f t="shared" si="57"/>
        <v>0</v>
      </c>
      <c r="I184" s="151">
        <f t="shared" si="57"/>
        <v>0</v>
      </c>
      <c r="J184" s="151">
        <f t="shared" si="58"/>
        <v>0</v>
      </c>
      <c r="K184" s="151">
        <f t="shared" si="58"/>
        <v>0</v>
      </c>
      <c r="L184" s="151">
        <f t="shared" si="58"/>
        <v>0</v>
      </c>
      <c r="M184" s="151">
        <f t="shared" si="58"/>
        <v>0</v>
      </c>
      <c r="N184" s="77"/>
      <c r="O184" s="190"/>
    </row>
    <row r="185" spans="2:15" x14ac:dyDescent="0.2">
      <c r="B185" s="75"/>
      <c r="C185" s="1433"/>
      <c r="D185" s="1433"/>
      <c r="E185" s="1433"/>
      <c r="F185" s="149">
        <v>3</v>
      </c>
      <c r="G185" s="151">
        <v>0</v>
      </c>
      <c r="H185" s="151">
        <f t="shared" si="57"/>
        <v>0</v>
      </c>
      <c r="I185" s="151">
        <f t="shared" si="57"/>
        <v>0</v>
      </c>
      <c r="J185" s="151">
        <f t="shared" si="58"/>
        <v>0</v>
      </c>
      <c r="K185" s="151">
        <f t="shared" si="58"/>
        <v>0</v>
      </c>
      <c r="L185" s="151">
        <f t="shared" si="58"/>
        <v>0</v>
      </c>
      <c r="M185" s="151">
        <f t="shared" si="58"/>
        <v>0</v>
      </c>
      <c r="N185" s="77"/>
      <c r="O185" s="190"/>
    </row>
    <row r="186" spans="2:15" x14ac:dyDescent="0.2">
      <c r="B186" s="75"/>
      <c r="C186" s="1433"/>
      <c r="D186" s="1433"/>
      <c r="E186" s="1433"/>
      <c r="F186" s="149"/>
      <c r="G186" s="198"/>
      <c r="H186" s="70"/>
      <c r="I186" s="70"/>
      <c r="J186" s="70"/>
      <c r="K186" s="70"/>
      <c r="L186" s="70"/>
      <c r="M186" s="70"/>
      <c r="N186" s="77"/>
      <c r="O186" s="190"/>
    </row>
    <row r="187" spans="2:15" x14ac:dyDescent="0.2">
      <c r="B187" s="75"/>
      <c r="C187" s="1433"/>
      <c r="D187" s="1435" t="s">
        <v>519</v>
      </c>
      <c r="E187" s="1437"/>
      <c r="F187" s="149">
        <v>1</v>
      </c>
      <c r="G187" s="151">
        <v>0</v>
      </c>
      <c r="H187" s="151">
        <f t="shared" ref="H187:I189" si="59">+G187</f>
        <v>0</v>
      </c>
      <c r="I187" s="151">
        <f t="shared" si="59"/>
        <v>0</v>
      </c>
      <c r="J187" s="151">
        <f t="shared" ref="J187:M189" si="60">+I187</f>
        <v>0</v>
      </c>
      <c r="K187" s="151">
        <f t="shared" si="60"/>
        <v>0</v>
      </c>
      <c r="L187" s="151">
        <f t="shared" si="60"/>
        <v>0</v>
      </c>
      <c r="M187" s="151">
        <f t="shared" si="60"/>
        <v>0</v>
      </c>
      <c r="N187" s="77"/>
      <c r="O187" s="190"/>
    </row>
    <row r="188" spans="2:15" x14ac:dyDescent="0.2">
      <c r="B188" s="75"/>
      <c r="C188" s="1433"/>
      <c r="D188" s="1433"/>
      <c r="E188" s="1433"/>
      <c r="F188" s="149">
        <v>2</v>
      </c>
      <c r="G188" s="151">
        <v>0</v>
      </c>
      <c r="H188" s="151">
        <f t="shared" si="59"/>
        <v>0</v>
      </c>
      <c r="I188" s="151">
        <f t="shared" si="59"/>
        <v>0</v>
      </c>
      <c r="J188" s="151">
        <f t="shared" si="60"/>
        <v>0</v>
      </c>
      <c r="K188" s="151">
        <f t="shared" si="60"/>
        <v>0</v>
      </c>
      <c r="L188" s="151">
        <f t="shared" si="60"/>
        <v>0</v>
      </c>
      <c r="M188" s="151">
        <f t="shared" si="60"/>
        <v>0</v>
      </c>
      <c r="N188" s="77"/>
      <c r="O188" s="190"/>
    </row>
    <row r="189" spans="2:15" x14ac:dyDescent="0.2">
      <c r="B189" s="75"/>
      <c r="C189" s="1433"/>
      <c r="D189" s="1433"/>
      <c r="E189" s="1433"/>
      <c r="F189" s="149">
        <v>3</v>
      </c>
      <c r="G189" s="151">
        <v>0</v>
      </c>
      <c r="H189" s="151">
        <f t="shared" si="59"/>
        <v>0</v>
      </c>
      <c r="I189" s="151">
        <f t="shared" si="59"/>
        <v>0</v>
      </c>
      <c r="J189" s="151">
        <f t="shared" si="60"/>
        <v>0</v>
      </c>
      <c r="K189" s="151">
        <f t="shared" si="60"/>
        <v>0</v>
      </c>
      <c r="L189" s="151">
        <f t="shared" si="60"/>
        <v>0</v>
      </c>
      <c r="M189" s="151">
        <f t="shared" si="60"/>
        <v>0</v>
      </c>
      <c r="N189" s="77"/>
      <c r="O189" s="190"/>
    </row>
    <row r="190" spans="2:15" x14ac:dyDescent="0.2">
      <c r="B190" s="75"/>
      <c r="C190" s="1433"/>
      <c r="D190" s="1433"/>
      <c r="E190" s="1433"/>
      <c r="F190" s="149"/>
      <c r="G190" s="198"/>
      <c r="H190" s="70"/>
      <c r="I190" s="70"/>
      <c r="J190" s="70"/>
      <c r="K190" s="70"/>
      <c r="L190" s="70"/>
      <c r="M190" s="70"/>
      <c r="N190" s="77"/>
      <c r="O190" s="190"/>
    </row>
    <row r="191" spans="2:15" x14ac:dyDescent="0.2">
      <c r="B191" s="75"/>
      <c r="C191" s="1433"/>
      <c r="D191" s="1435" t="s">
        <v>520</v>
      </c>
      <c r="E191" s="1437"/>
      <c r="F191" s="149">
        <v>1</v>
      </c>
      <c r="G191" s="151">
        <v>0</v>
      </c>
      <c r="H191" s="151">
        <f t="shared" ref="H191:I193" si="61">+G191</f>
        <v>0</v>
      </c>
      <c r="I191" s="151">
        <f t="shared" si="61"/>
        <v>0</v>
      </c>
      <c r="J191" s="151">
        <f t="shared" ref="J191:M193" si="62">+I191</f>
        <v>0</v>
      </c>
      <c r="K191" s="151">
        <f t="shared" si="62"/>
        <v>0</v>
      </c>
      <c r="L191" s="151">
        <f t="shared" si="62"/>
        <v>0</v>
      </c>
      <c r="M191" s="151">
        <f t="shared" si="62"/>
        <v>0</v>
      </c>
      <c r="N191" s="77"/>
      <c r="O191" s="190"/>
    </row>
    <row r="192" spans="2:15" x14ac:dyDescent="0.2">
      <c r="B192" s="75"/>
      <c r="C192" s="1433"/>
      <c r="D192" s="1433"/>
      <c r="E192" s="1433"/>
      <c r="F192" s="149">
        <v>2</v>
      </c>
      <c r="G192" s="151">
        <v>0</v>
      </c>
      <c r="H192" s="151">
        <f t="shared" si="61"/>
        <v>0</v>
      </c>
      <c r="I192" s="151">
        <f t="shared" si="61"/>
        <v>0</v>
      </c>
      <c r="J192" s="151">
        <f t="shared" si="62"/>
        <v>0</v>
      </c>
      <c r="K192" s="151">
        <f t="shared" si="62"/>
        <v>0</v>
      </c>
      <c r="L192" s="151">
        <f t="shared" si="62"/>
        <v>0</v>
      </c>
      <c r="M192" s="151">
        <f t="shared" si="62"/>
        <v>0</v>
      </c>
      <c r="N192" s="77"/>
      <c r="O192" s="190"/>
    </row>
    <row r="193" spans="2:16" x14ac:dyDescent="0.2">
      <c r="B193" s="75"/>
      <c r="C193" s="1433"/>
      <c r="D193" s="1433"/>
      <c r="E193" s="1433"/>
      <c r="F193" s="149">
        <v>3</v>
      </c>
      <c r="G193" s="151">
        <v>0</v>
      </c>
      <c r="H193" s="151">
        <f t="shared" si="61"/>
        <v>0</v>
      </c>
      <c r="I193" s="151">
        <f t="shared" si="61"/>
        <v>0</v>
      </c>
      <c r="J193" s="151">
        <f t="shared" si="62"/>
        <v>0</v>
      </c>
      <c r="K193" s="151">
        <f t="shared" si="62"/>
        <v>0</v>
      </c>
      <c r="L193" s="151">
        <f t="shared" si="62"/>
        <v>0</v>
      </c>
      <c r="M193" s="151">
        <f t="shared" si="62"/>
        <v>0</v>
      </c>
      <c r="N193" s="77"/>
      <c r="O193" s="190"/>
    </row>
    <row r="194" spans="2:16" x14ac:dyDescent="0.2">
      <c r="B194" s="75"/>
      <c r="C194" s="1433"/>
      <c r="D194" s="1433"/>
      <c r="E194" s="1433"/>
      <c r="F194" s="149"/>
      <c r="G194" s="198"/>
      <c r="H194" s="70"/>
      <c r="I194" s="70"/>
      <c r="J194" s="70"/>
      <c r="K194" s="70"/>
      <c r="L194" s="70"/>
      <c r="M194" s="70"/>
      <c r="N194" s="77"/>
      <c r="O194" s="190"/>
    </row>
    <row r="195" spans="2:16" x14ac:dyDescent="0.2">
      <c r="B195" s="75"/>
      <c r="C195" s="1433"/>
      <c r="D195" s="1435" t="s">
        <v>521</v>
      </c>
      <c r="E195" s="1437"/>
      <c r="F195" s="149">
        <v>1</v>
      </c>
      <c r="G195" s="151">
        <v>0</v>
      </c>
      <c r="H195" s="151">
        <f t="shared" ref="H195:I197" si="63">+G195</f>
        <v>0</v>
      </c>
      <c r="I195" s="151">
        <f t="shared" si="63"/>
        <v>0</v>
      </c>
      <c r="J195" s="151">
        <f t="shared" ref="J195:M197" si="64">+I195</f>
        <v>0</v>
      </c>
      <c r="K195" s="151">
        <f t="shared" si="64"/>
        <v>0</v>
      </c>
      <c r="L195" s="151">
        <f t="shared" si="64"/>
        <v>0</v>
      </c>
      <c r="M195" s="151">
        <f t="shared" si="64"/>
        <v>0</v>
      </c>
      <c r="N195" s="77"/>
      <c r="O195" s="190"/>
      <c r="P195" s="169"/>
    </row>
    <row r="196" spans="2:16" x14ac:dyDescent="0.2">
      <c r="B196" s="75"/>
      <c r="C196" s="1433"/>
      <c r="D196" s="1433"/>
      <c r="E196" s="1433"/>
      <c r="F196" s="149">
        <v>2</v>
      </c>
      <c r="G196" s="151">
        <v>0</v>
      </c>
      <c r="H196" s="151">
        <f t="shared" si="63"/>
        <v>0</v>
      </c>
      <c r="I196" s="151">
        <f t="shared" si="63"/>
        <v>0</v>
      </c>
      <c r="J196" s="151">
        <f t="shared" si="64"/>
        <v>0</v>
      </c>
      <c r="K196" s="151">
        <f t="shared" si="64"/>
        <v>0</v>
      </c>
      <c r="L196" s="151">
        <f t="shared" si="64"/>
        <v>0</v>
      </c>
      <c r="M196" s="151">
        <f t="shared" si="64"/>
        <v>0</v>
      </c>
      <c r="N196" s="77"/>
      <c r="O196" s="190"/>
    </row>
    <row r="197" spans="2:16" x14ac:dyDescent="0.2">
      <c r="B197" s="75"/>
      <c r="C197" s="1433"/>
      <c r="D197" s="1433"/>
      <c r="E197" s="1433"/>
      <c r="F197" s="149">
        <v>3</v>
      </c>
      <c r="G197" s="151">
        <v>0</v>
      </c>
      <c r="H197" s="151">
        <f t="shared" si="63"/>
        <v>0</v>
      </c>
      <c r="I197" s="151">
        <f t="shared" si="63"/>
        <v>0</v>
      </c>
      <c r="J197" s="151">
        <f t="shared" si="64"/>
        <v>0</v>
      </c>
      <c r="K197" s="151">
        <f t="shared" si="64"/>
        <v>0</v>
      </c>
      <c r="L197" s="151">
        <f t="shared" si="64"/>
        <v>0</v>
      </c>
      <c r="M197" s="151">
        <f t="shared" si="64"/>
        <v>0</v>
      </c>
      <c r="N197" s="77"/>
      <c r="O197" s="603"/>
    </row>
    <row r="198" spans="2:16" x14ac:dyDescent="0.2">
      <c r="B198" s="75"/>
      <c r="C198" s="1433"/>
      <c r="D198" s="1433"/>
      <c r="E198" s="1433"/>
      <c r="F198" s="149"/>
      <c r="G198" s="198"/>
      <c r="H198" s="70"/>
      <c r="I198" s="70"/>
      <c r="J198" s="70"/>
      <c r="K198" s="70"/>
      <c r="L198" s="70"/>
      <c r="M198" s="70"/>
      <c r="N198" s="77"/>
      <c r="O198" s="603"/>
    </row>
    <row r="199" spans="2:16" x14ac:dyDescent="0.2">
      <c r="B199" s="75"/>
      <c r="C199" s="1433"/>
      <c r="D199" s="1435" t="s">
        <v>522</v>
      </c>
      <c r="E199" s="1437"/>
      <c r="F199" s="149">
        <v>1</v>
      </c>
      <c r="G199" s="151">
        <v>0</v>
      </c>
      <c r="H199" s="151">
        <f t="shared" ref="H199:I201" si="65">+G199</f>
        <v>0</v>
      </c>
      <c r="I199" s="151">
        <f t="shared" si="65"/>
        <v>0</v>
      </c>
      <c r="J199" s="151">
        <f t="shared" ref="J199:M201" si="66">+I199</f>
        <v>0</v>
      </c>
      <c r="K199" s="151">
        <f t="shared" si="66"/>
        <v>0</v>
      </c>
      <c r="L199" s="151">
        <f t="shared" si="66"/>
        <v>0</v>
      </c>
      <c r="M199" s="151">
        <f t="shared" si="66"/>
        <v>0</v>
      </c>
      <c r="N199" s="77"/>
      <c r="O199" s="603"/>
    </row>
    <row r="200" spans="2:16" x14ac:dyDescent="0.2">
      <c r="B200" s="75"/>
      <c r="C200" s="1433"/>
      <c r="D200" s="1433"/>
      <c r="E200" s="1433"/>
      <c r="F200" s="149">
        <v>2</v>
      </c>
      <c r="G200" s="151">
        <v>0</v>
      </c>
      <c r="H200" s="151">
        <f t="shared" si="65"/>
        <v>0</v>
      </c>
      <c r="I200" s="151">
        <f t="shared" si="65"/>
        <v>0</v>
      </c>
      <c r="J200" s="151">
        <f t="shared" si="66"/>
        <v>0</v>
      </c>
      <c r="K200" s="151">
        <f t="shared" si="66"/>
        <v>0</v>
      </c>
      <c r="L200" s="151">
        <f t="shared" si="66"/>
        <v>0</v>
      </c>
      <c r="M200" s="151">
        <f t="shared" si="66"/>
        <v>0</v>
      </c>
      <c r="N200" s="77"/>
      <c r="O200" s="603"/>
    </row>
    <row r="201" spans="2:16" x14ac:dyDescent="0.2">
      <c r="B201" s="75"/>
      <c r="C201" s="1433"/>
      <c r="D201" s="1433"/>
      <c r="E201" s="1433"/>
      <c r="F201" s="149">
        <v>3</v>
      </c>
      <c r="G201" s="151">
        <v>0</v>
      </c>
      <c r="H201" s="151">
        <f t="shared" si="65"/>
        <v>0</v>
      </c>
      <c r="I201" s="151">
        <f t="shared" si="65"/>
        <v>0</v>
      </c>
      <c r="J201" s="151">
        <f t="shared" si="66"/>
        <v>0</v>
      </c>
      <c r="K201" s="151">
        <f t="shared" si="66"/>
        <v>0</v>
      </c>
      <c r="L201" s="151">
        <f t="shared" si="66"/>
        <v>0</v>
      </c>
      <c r="M201" s="151">
        <f t="shared" si="66"/>
        <v>0</v>
      </c>
      <c r="N201" s="77"/>
      <c r="O201" s="603"/>
    </row>
    <row r="202" spans="2:16" x14ac:dyDescent="0.2">
      <c r="B202" s="75"/>
      <c r="C202" s="1433"/>
      <c r="D202" s="1433"/>
      <c r="E202" s="1433"/>
      <c r="F202" s="149"/>
      <c r="G202" s="198"/>
      <c r="H202" s="70"/>
      <c r="I202" s="70"/>
      <c r="J202" s="70"/>
      <c r="K202" s="70"/>
      <c r="L202" s="70"/>
      <c r="M202" s="70"/>
      <c r="N202" s="77"/>
      <c r="O202" s="603"/>
    </row>
    <row r="203" spans="2:16" x14ac:dyDescent="0.2">
      <c r="B203" s="75"/>
      <c r="C203" s="1433"/>
      <c r="D203" s="1435" t="s">
        <v>523</v>
      </c>
      <c r="E203" s="1437"/>
      <c r="F203" s="149">
        <v>1</v>
      </c>
      <c r="G203" s="151">
        <v>0</v>
      </c>
      <c r="H203" s="151">
        <f t="shared" ref="H203:I205" si="67">+G203</f>
        <v>0</v>
      </c>
      <c r="I203" s="151">
        <f t="shared" si="67"/>
        <v>0</v>
      </c>
      <c r="J203" s="151">
        <f t="shared" ref="J203:M205" si="68">+I203</f>
        <v>0</v>
      </c>
      <c r="K203" s="151">
        <f t="shared" si="68"/>
        <v>0</v>
      </c>
      <c r="L203" s="151">
        <f t="shared" si="68"/>
        <v>0</v>
      </c>
      <c r="M203" s="151">
        <f t="shared" si="68"/>
        <v>0</v>
      </c>
      <c r="N203" s="77"/>
      <c r="O203" s="603"/>
    </row>
    <row r="204" spans="2:16" x14ac:dyDescent="0.2">
      <c r="B204" s="75"/>
      <c r="C204" s="1433"/>
      <c r="D204" s="1433"/>
      <c r="E204" s="1433"/>
      <c r="F204" s="149">
        <v>2</v>
      </c>
      <c r="G204" s="151">
        <v>0</v>
      </c>
      <c r="H204" s="151">
        <f t="shared" si="67"/>
        <v>0</v>
      </c>
      <c r="I204" s="151">
        <f t="shared" si="67"/>
        <v>0</v>
      </c>
      <c r="J204" s="151">
        <f t="shared" si="68"/>
        <v>0</v>
      </c>
      <c r="K204" s="151">
        <f t="shared" si="68"/>
        <v>0</v>
      </c>
      <c r="L204" s="151">
        <f t="shared" si="68"/>
        <v>0</v>
      </c>
      <c r="M204" s="151">
        <f t="shared" si="68"/>
        <v>0</v>
      </c>
      <c r="N204" s="77"/>
      <c r="O204" s="603"/>
    </row>
    <row r="205" spans="2:16" x14ac:dyDescent="0.2">
      <c r="B205" s="75"/>
      <c r="C205" s="1433"/>
      <c r="D205" s="1433"/>
      <c r="E205" s="1433"/>
      <c r="F205" s="149">
        <v>3</v>
      </c>
      <c r="G205" s="151">
        <v>0</v>
      </c>
      <c r="H205" s="151">
        <f t="shared" si="67"/>
        <v>0</v>
      </c>
      <c r="I205" s="151">
        <f t="shared" si="67"/>
        <v>0</v>
      </c>
      <c r="J205" s="151">
        <f t="shared" si="68"/>
        <v>0</v>
      </c>
      <c r="K205" s="151">
        <f t="shared" si="68"/>
        <v>0</v>
      </c>
      <c r="L205" s="151">
        <f t="shared" si="68"/>
        <v>0</v>
      </c>
      <c r="M205" s="151">
        <f t="shared" si="68"/>
        <v>0</v>
      </c>
      <c r="N205" s="77"/>
      <c r="O205" s="603"/>
    </row>
    <row r="206" spans="2:16" x14ac:dyDescent="0.2">
      <c r="B206" s="75"/>
      <c r="C206" s="1433"/>
      <c r="D206" s="1436"/>
      <c r="E206" s="1433"/>
      <c r="F206" s="149"/>
      <c r="G206" s="198"/>
      <c r="H206" s="70"/>
      <c r="I206" s="70"/>
      <c r="J206" s="70"/>
      <c r="K206" s="70"/>
      <c r="L206" s="70"/>
      <c r="M206" s="70"/>
      <c r="N206" s="77"/>
      <c r="O206" s="603"/>
    </row>
    <row r="207" spans="2:16" x14ac:dyDescent="0.2">
      <c r="B207" s="75"/>
      <c r="C207" s="1433"/>
      <c r="D207" s="1435" t="s">
        <v>524</v>
      </c>
      <c r="E207" s="1437"/>
      <c r="F207" s="149">
        <v>1</v>
      </c>
      <c r="G207" s="151">
        <v>0</v>
      </c>
      <c r="H207" s="151">
        <f t="shared" ref="H207:I209" si="69">+G207</f>
        <v>0</v>
      </c>
      <c r="I207" s="151">
        <f t="shared" si="69"/>
        <v>0</v>
      </c>
      <c r="J207" s="151">
        <f t="shared" ref="J207:M209" si="70">+I207</f>
        <v>0</v>
      </c>
      <c r="K207" s="151">
        <f t="shared" si="70"/>
        <v>0</v>
      </c>
      <c r="L207" s="151">
        <f t="shared" si="70"/>
        <v>0</v>
      </c>
      <c r="M207" s="151">
        <f t="shared" si="70"/>
        <v>0</v>
      </c>
      <c r="N207" s="77"/>
      <c r="O207" s="603"/>
    </row>
    <row r="208" spans="2:16" x14ac:dyDescent="0.2">
      <c r="B208" s="75"/>
      <c r="C208" s="1433"/>
      <c r="D208" s="1436"/>
      <c r="E208" s="1433"/>
      <c r="F208" s="149">
        <v>2</v>
      </c>
      <c r="G208" s="151">
        <v>0</v>
      </c>
      <c r="H208" s="151">
        <f t="shared" si="69"/>
        <v>0</v>
      </c>
      <c r="I208" s="151">
        <f t="shared" si="69"/>
        <v>0</v>
      </c>
      <c r="J208" s="151">
        <f t="shared" si="70"/>
        <v>0</v>
      </c>
      <c r="K208" s="151">
        <f t="shared" si="70"/>
        <v>0</v>
      </c>
      <c r="L208" s="151">
        <f t="shared" si="70"/>
        <v>0</v>
      </c>
      <c r="M208" s="151">
        <f t="shared" si="70"/>
        <v>0</v>
      </c>
      <c r="N208" s="77"/>
      <c r="O208" s="603"/>
    </row>
    <row r="209" spans="2:16" x14ac:dyDescent="0.2">
      <c r="B209" s="75"/>
      <c r="C209" s="1433"/>
      <c r="D209" s="1433"/>
      <c r="E209" s="1433"/>
      <c r="F209" s="149">
        <v>3</v>
      </c>
      <c r="G209" s="151">
        <v>0</v>
      </c>
      <c r="H209" s="151">
        <f t="shared" si="69"/>
        <v>0</v>
      </c>
      <c r="I209" s="151">
        <f t="shared" si="69"/>
        <v>0</v>
      </c>
      <c r="J209" s="151">
        <f t="shared" si="70"/>
        <v>0</v>
      </c>
      <c r="K209" s="151">
        <f t="shared" si="70"/>
        <v>0</v>
      </c>
      <c r="L209" s="151">
        <f t="shared" si="70"/>
        <v>0</v>
      </c>
      <c r="M209" s="151">
        <f t="shared" si="70"/>
        <v>0</v>
      </c>
      <c r="N209" s="77"/>
      <c r="O209" s="603"/>
    </row>
    <row r="210" spans="2:16" x14ac:dyDescent="0.2">
      <c r="B210" s="75"/>
      <c r="C210" s="1433"/>
      <c r="D210" s="1433"/>
      <c r="E210" s="1433"/>
      <c r="F210" s="149"/>
      <c r="G210" s="198"/>
      <c r="H210" s="70"/>
      <c r="I210" s="70"/>
      <c r="J210" s="70"/>
      <c r="K210" s="70"/>
      <c r="L210" s="70"/>
      <c r="M210" s="70"/>
      <c r="N210" s="77"/>
      <c r="O210" s="603"/>
    </row>
    <row r="211" spans="2:16" x14ac:dyDescent="0.2">
      <c r="B211" s="75"/>
      <c r="C211" s="1433"/>
      <c r="D211" s="1435" t="s">
        <v>525</v>
      </c>
      <c r="E211" s="1437"/>
      <c r="F211" s="149">
        <v>1</v>
      </c>
      <c r="G211" s="151">
        <v>0</v>
      </c>
      <c r="H211" s="151">
        <f t="shared" ref="H211:I213" si="71">+G211</f>
        <v>0</v>
      </c>
      <c r="I211" s="151">
        <f t="shared" si="71"/>
        <v>0</v>
      </c>
      <c r="J211" s="151">
        <f t="shared" ref="J211:M213" si="72">+I211</f>
        <v>0</v>
      </c>
      <c r="K211" s="151">
        <f t="shared" si="72"/>
        <v>0</v>
      </c>
      <c r="L211" s="151">
        <f t="shared" si="72"/>
        <v>0</v>
      </c>
      <c r="M211" s="151">
        <f t="shared" si="72"/>
        <v>0</v>
      </c>
      <c r="N211" s="77"/>
      <c r="O211" s="603"/>
    </row>
    <row r="212" spans="2:16" x14ac:dyDescent="0.2">
      <c r="B212" s="75"/>
      <c r="C212" s="1433"/>
      <c r="D212" s="1433"/>
      <c r="E212" s="1433"/>
      <c r="F212" s="149">
        <v>2</v>
      </c>
      <c r="G212" s="151">
        <v>0</v>
      </c>
      <c r="H212" s="151">
        <f t="shared" si="71"/>
        <v>0</v>
      </c>
      <c r="I212" s="151">
        <f t="shared" si="71"/>
        <v>0</v>
      </c>
      <c r="J212" s="151">
        <f t="shared" si="72"/>
        <v>0</v>
      </c>
      <c r="K212" s="151">
        <f t="shared" si="72"/>
        <v>0</v>
      </c>
      <c r="L212" s="151">
        <f t="shared" si="72"/>
        <v>0</v>
      </c>
      <c r="M212" s="151">
        <f t="shared" si="72"/>
        <v>0</v>
      </c>
      <c r="N212" s="77"/>
      <c r="O212" s="603"/>
    </row>
    <row r="213" spans="2:16" x14ac:dyDescent="0.2">
      <c r="B213" s="75"/>
      <c r="C213" s="1433"/>
      <c r="D213" s="1433"/>
      <c r="E213" s="1433"/>
      <c r="F213" s="149">
        <v>3</v>
      </c>
      <c r="G213" s="151">
        <v>0</v>
      </c>
      <c r="H213" s="151">
        <f t="shared" si="71"/>
        <v>0</v>
      </c>
      <c r="I213" s="151">
        <f t="shared" si="71"/>
        <v>0</v>
      </c>
      <c r="J213" s="151">
        <f t="shared" si="72"/>
        <v>0</v>
      </c>
      <c r="K213" s="151">
        <f t="shared" si="72"/>
        <v>0</v>
      </c>
      <c r="L213" s="151">
        <f t="shared" si="72"/>
        <v>0</v>
      </c>
      <c r="M213" s="151">
        <f t="shared" si="72"/>
        <v>0</v>
      </c>
      <c r="N213" s="77"/>
      <c r="O213" s="603"/>
    </row>
    <row r="214" spans="2:16" x14ac:dyDescent="0.2">
      <c r="B214" s="75"/>
      <c r="C214" s="1433"/>
      <c r="D214" s="1433"/>
      <c r="E214" s="1433"/>
      <c r="F214" s="149"/>
      <c r="G214" s="198"/>
      <c r="H214" s="70"/>
      <c r="I214" s="70"/>
      <c r="J214" s="70"/>
      <c r="K214" s="70"/>
      <c r="L214" s="70"/>
      <c r="M214" s="70"/>
      <c r="N214" s="77"/>
      <c r="O214" s="603"/>
    </row>
    <row r="215" spans="2:16" x14ac:dyDescent="0.2">
      <c r="B215" s="75"/>
      <c r="C215" s="1433"/>
      <c r="D215" s="1435" t="s">
        <v>526</v>
      </c>
      <c r="E215" s="1437"/>
      <c r="F215" s="149">
        <v>1</v>
      </c>
      <c r="G215" s="151">
        <v>0</v>
      </c>
      <c r="H215" s="151">
        <f t="shared" ref="H215:I217" si="73">+G215</f>
        <v>0</v>
      </c>
      <c r="I215" s="151">
        <f t="shared" si="73"/>
        <v>0</v>
      </c>
      <c r="J215" s="151">
        <f t="shared" ref="J215:M217" si="74">+I215</f>
        <v>0</v>
      </c>
      <c r="K215" s="151">
        <f t="shared" si="74"/>
        <v>0</v>
      </c>
      <c r="L215" s="151">
        <f t="shared" si="74"/>
        <v>0</v>
      </c>
      <c r="M215" s="151">
        <f t="shared" si="74"/>
        <v>0</v>
      </c>
      <c r="N215" s="77"/>
      <c r="O215" s="603"/>
    </row>
    <row r="216" spans="2:16" x14ac:dyDescent="0.2">
      <c r="B216" s="75"/>
      <c r="C216" s="1433"/>
      <c r="D216" s="1433"/>
      <c r="E216" s="1433"/>
      <c r="F216" s="149">
        <v>2</v>
      </c>
      <c r="G216" s="151">
        <v>0</v>
      </c>
      <c r="H216" s="151">
        <f t="shared" si="73"/>
        <v>0</v>
      </c>
      <c r="I216" s="151">
        <f t="shared" si="73"/>
        <v>0</v>
      </c>
      <c r="J216" s="151">
        <f t="shared" si="74"/>
        <v>0</v>
      </c>
      <c r="K216" s="151">
        <f t="shared" si="74"/>
        <v>0</v>
      </c>
      <c r="L216" s="151">
        <f t="shared" si="74"/>
        <v>0</v>
      </c>
      <c r="M216" s="151">
        <f t="shared" si="74"/>
        <v>0</v>
      </c>
      <c r="N216" s="77"/>
      <c r="O216" s="603"/>
    </row>
    <row r="217" spans="2:16" x14ac:dyDescent="0.2">
      <c r="B217" s="75"/>
      <c r="C217" s="1433"/>
      <c r="D217" s="1433"/>
      <c r="E217" s="1433"/>
      <c r="F217" s="149">
        <v>3</v>
      </c>
      <c r="G217" s="151">
        <v>0</v>
      </c>
      <c r="H217" s="151">
        <f t="shared" si="73"/>
        <v>0</v>
      </c>
      <c r="I217" s="151">
        <f t="shared" si="73"/>
        <v>0</v>
      </c>
      <c r="J217" s="151">
        <f t="shared" si="74"/>
        <v>0</v>
      </c>
      <c r="K217" s="151">
        <f t="shared" si="74"/>
        <v>0</v>
      </c>
      <c r="L217" s="151">
        <f t="shared" si="74"/>
        <v>0</v>
      </c>
      <c r="M217" s="151">
        <f t="shared" si="74"/>
        <v>0</v>
      </c>
      <c r="N217" s="77"/>
      <c r="O217" s="603"/>
    </row>
    <row r="218" spans="2:16" x14ac:dyDescent="0.2">
      <c r="B218" s="75"/>
      <c r="C218" s="1433"/>
      <c r="D218" s="1433"/>
      <c r="E218" s="1433"/>
      <c r="F218" s="149"/>
      <c r="G218" s="70"/>
      <c r="H218" s="70"/>
      <c r="I218" s="70"/>
      <c r="J218" s="70"/>
      <c r="K218" s="70"/>
      <c r="L218" s="70"/>
      <c r="M218" s="70"/>
      <c r="N218" s="77"/>
      <c r="O218" s="603"/>
    </row>
    <row r="219" spans="2:16" x14ac:dyDescent="0.2">
      <c r="B219" s="75"/>
      <c r="C219" s="1433"/>
      <c r="D219" s="1435" t="s">
        <v>527</v>
      </c>
      <c r="E219" s="1437"/>
      <c r="F219" s="149">
        <v>1</v>
      </c>
      <c r="G219" s="151">
        <v>0</v>
      </c>
      <c r="H219" s="151">
        <f>+G219</f>
        <v>0</v>
      </c>
      <c r="I219" s="151">
        <f t="shared" ref="I219:K221" si="75">+H219</f>
        <v>0</v>
      </c>
      <c r="J219" s="151">
        <f>+I219</f>
        <v>0</v>
      </c>
      <c r="K219" s="151">
        <f t="shared" si="75"/>
        <v>0</v>
      </c>
      <c r="L219" s="151">
        <f t="shared" ref="L219:M221" si="76">+K219</f>
        <v>0</v>
      </c>
      <c r="M219" s="151">
        <f t="shared" si="76"/>
        <v>0</v>
      </c>
      <c r="N219" s="77"/>
      <c r="O219" s="603"/>
    </row>
    <row r="220" spans="2:16" x14ac:dyDescent="0.2">
      <c r="B220" s="75"/>
      <c r="C220" s="1433"/>
      <c r="D220" s="1433"/>
      <c r="E220" s="1433"/>
      <c r="F220" s="149">
        <v>2</v>
      </c>
      <c r="G220" s="151">
        <v>0</v>
      </c>
      <c r="H220" s="151">
        <f>+G220</f>
        <v>0</v>
      </c>
      <c r="I220" s="151">
        <f t="shared" si="75"/>
        <v>0</v>
      </c>
      <c r="J220" s="151">
        <f>+I220</f>
        <v>0</v>
      </c>
      <c r="K220" s="151">
        <f t="shared" si="75"/>
        <v>0</v>
      </c>
      <c r="L220" s="151">
        <f t="shared" si="76"/>
        <v>0</v>
      </c>
      <c r="M220" s="151">
        <f t="shared" si="76"/>
        <v>0</v>
      </c>
      <c r="N220" s="77"/>
      <c r="O220" s="603"/>
    </row>
    <row r="221" spans="2:16" x14ac:dyDescent="0.2">
      <c r="B221" s="75"/>
      <c r="C221" s="1433"/>
      <c r="D221" s="1433"/>
      <c r="E221" s="1433"/>
      <c r="F221" s="149">
        <v>3</v>
      </c>
      <c r="G221" s="151">
        <v>0</v>
      </c>
      <c r="H221" s="151">
        <f>+G221</f>
        <v>0</v>
      </c>
      <c r="I221" s="151">
        <f t="shared" si="75"/>
        <v>0</v>
      </c>
      <c r="J221" s="151">
        <f>+I221</f>
        <v>0</v>
      </c>
      <c r="K221" s="151">
        <f t="shared" si="75"/>
        <v>0</v>
      </c>
      <c r="L221" s="151">
        <f t="shared" si="76"/>
        <v>0</v>
      </c>
      <c r="M221" s="151">
        <f t="shared" si="76"/>
        <v>0</v>
      </c>
      <c r="N221" s="77"/>
      <c r="O221" s="603"/>
    </row>
    <row r="222" spans="2:16" x14ac:dyDescent="0.2">
      <c r="B222" s="75"/>
      <c r="C222" s="1433"/>
      <c r="D222" s="1433"/>
      <c r="E222" s="1433"/>
      <c r="F222" s="149"/>
      <c r="G222" s="70"/>
      <c r="H222" s="70"/>
      <c r="I222" s="70"/>
      <c r="J222" s="70"/>
      <c r="K222" s="70"/>
      <c r="L222" s="70"/>
      <c r="M222" s="70"/>
      <c r="N222" s="77"/>
      <c r="O222" s="603"/>
    </row>
    <row r="223" spans="2:16" x14ac:dyDescent="0.2">
      <c r="B223" s="75"/>
      <c r="C223" s="1433"/>
      <c r="D223" s="1435" t="s">
        <v>528</v>
      </c>
      <c r="E223" s="1437"/>
      <c r="F223" s="149">
        <v>1</v>
      </c>
      <c r="G223" s="151">
        <v>0</v>
      </c>
      <c r="H223" s="151">
        <f>+G223</f>
        <v>0</v>
      </c>
      <c r="I223" s="151">
        <f t="shared" ref="I223:K225" si="77">+H223</f>
        <v>0</v>
      </c>
      <c r="J223" s="151">
        <f>+I223</f>
        <v>0</v>
      </c>
      <c r="K223" s="151">
        <f t="shared" si="77"/>
        <v>0</v>
      </c>
      <c r="L223" s="151">
        <f t="shared" ref="L223:M225" si="78">+K223</f>
        <v>0</v>
      </c>
      <c r="M223" s="151">
        <f t="shared" si="78"/>
        <v>0</v>
      </c>
      <c r="N223" s="77"/>
      <c r="O223" s="603"/>
    </row>
    <row r="224" spans="2:16" x14ac:dyDescent="0.2">
      <c r="B224" s="75"/>
      <c r="C224" s="1433"/>
      <c r="D224" s="1433"/>
      <c r="E224" s="1433"/>
      <c r="F224" s="149">
        <v>2</v>
      </c>
      <c r="G224" s="151">
        <v>0</v>
      </c>
      <c r="H224" s="151">
        <f>+G224</f>
        <v>0</v>
      </c>
      <c r="I224" s="151">
        <f t="shared" si="77"/>
        <v>0</v>
      </c>
      <c r="J224" s="151">
        <f>+I224</f>
        <v>0</v>
      </c>
      <c r="K224" s="151">
        <f t="shared" si="77"/>
        <v>0</v>
      </c>
      <c r="L224" s="151">
        <f t="shared" si="78"/>
        <v>0</v>
      </c>
      <c r="M224" s="151">
        <f t="shared" si="78"/>
        <v>0</v>
      </c>
      <c r="N224" s="77"/>
      <c r="O224" s="603"/>
      <c r="P224" s="790"/>
    </row>
    <row r="225" spans="2:16" x14ac:dyDescent="0.2">
      <c r="B225" s="75"/>
      <c r="C225" s="1433"/>
      <c r="D225" s="1433"/>
      <c r="E225" s="1433"/>
      <c r="F225" s="149">
        <v>3</v>
      </c>
      <c r="G225" s="151">
        <v>0</v>
      </c>
      <c r="H225" s="151">
        <f>+G225</f>
        <v>0</v>
      </c>
      <c r="I225" s="151">
        <f t="shared" si="77"/>
        <v>0</v>
      </c>
      <c r="J225" s="151">
        <f>+I225</f>
        <v>0</v>
      </c>
      <c r="K225" s="151">
        <f t="shared" si="77"/>
        <v>0</v>
      </c>
      <c r="L225" s="151">
        <f t="shared" si="78"/>
        <v>0</v>
      </c>
      <c r="M225" s="151">
        <f t="shared" si="78"/>
        <v>0</v>
      </c>
      <c r="N225" s="77"/>
      <c r="O225" s="603"/>
      <c r="P225" s="790"/>
    </row>
    <row r="226" spans="2:16" x14ac:dyDescent="0.2">
      <c r="B226" s="75"/>
      <c r="C226" s="1433"/>
      <c r="D226" s="1433"/>
      <c r="E226" s="1433"/>
      <c r="F226" s="149"/>
      <c r="G226" s="70"/>
      <c r="H226" s="70"/>
      <c r="I226" s="70"/>
      <c r="J226" s="70"/>
      <c r="K226" s="70"/>
      <c r="L226" s="70"/>
      <c r="M226" s="70"/>
      <c r="N226" s="77"/>
      <c r="O226" s="603"/>
      <c r="P226" s="790"/>
    </row>
    <row r="227" spans="2:16" x14ac:dyDescent="0.2">
      <c r="B227" s="75"/>
      <c r="C227" s="1433"/>
      <c r="D227" s="1435" t="s">
        <v>529</v>
      </c>
      <c r="E227" s="1437"/>
      <c r="F227" s="149">
        <v>1</v>
      </c>
      <c r="G227" s="151">
        <v>0</v>
      </c>
      <c r="H227" s="151">
        <f>+G227</f>
        <v>0</v>
      </c>
      <c r="I227" s="151">
        <f t="shared" ref="I227:K229" si="79">+H227</f>
        <v>0</v>
      </c>
      <c r="J227" s="151">
        <f>+I227</f>
        <v>0</v>
      </c>
      <c r="K227" s="151">
        <f t="shared" si="79"/>
        <v>0</v>
      </c>
      <c r="L227" s="151">
        <f t="shared" ref="L227:M229" si="80">+K227</f>
        <v>0</v>
      </c>
      <c r="M227" s="151">
        <f t="shared" si="80"/>
        <v>0</v>
      </c>
      <c r="N227" s="77"/>
      <c r="O227" s="603"/>
      <c r="P227" s="790"/>
    </row>
    <row r="228" spans="2:16" x14ac:dyDescent="0.2">
      <c r="B228" s="75"/>
      <c r="C228" s="1433"/>
      <c r="D228" s="1433"/>
      <c r="E228" s="1433"/>
      <c r="F228" s="149">
        <v>2</v>
      </c>
      <c r="G228" s="151">
        <v>0</v>
      </c>
      <c r="H228" s="151">
        <f>+G228</f>
        <v>0</v>
      </c>
      <c r="I228" s="151">
        <f t="shared" si="79"/>
        <v>0</v>
      </c>
      <c r="J228" s="151">
        <f>+I228</f>
        <v>0</v>
      </c>
      <c r="K228" s="151">
        <f t="shared" si="79"/>
        <v>0</v>
      </c>
      <c r="L228" s="151">
        <f t="shared" si="80"/>
        <v>0</v>
      </c>
      <c r="M228" s="151">
        <f t="shared" si="80"/>
        <v>0</v>
      </c>
      <c r="N228" s="77"/>
      <c r="O228" s="603"/>
      <c r="P228" s="790"/>
    </row>
    <row r="229" spans="2:16" x14ac:dyDescent="0.2">
      <c r="B229" s="75"/>
      <c r="C229" s="1433"/>
      <c r="D229" s="1433"/>
      <c r="E229" s="1433"/>
      <c r="F229" s="149">
        <v>3</v>
      </c>
      <c r="G229" s="151">
        <v>0</v>
      </c>
      <c r="H229" s="151">
        <f>+G229</f>
        <v>0</v>
      </c>
      <c r="I229" s="151">
        <f t="shared" si="79"/>
        <v>0</v>
      </c>
      <c r="J229" s="151">
        <f>+I229</f>
        <v>0</v>
      </c>
      <c r="K229" s="151">
        <f t="shared" si="79"/>
        <v>0</v>
      </c>
      <c r="L229" s="151">
        <f t="shared" si="80"/>
        <v>0</v>
      </c>
      <c r="M229" s="151">
        <f t="shared" si="80"/>
        <v>0</v>
      </c>
      <c r="N229" s="77"/>
      <c r="O229" s="603"/>
    </row>
    <row r="230" spans="2:16" x14ac:dyDescent="0.2">
      <c r="B230" s="75"/>
      <c r="C230" s="1433"/>
      <c r="D230" s="1433"/>
      <c r="E230" s="1433"/>
      <c r="F230" s="149"/>
      <c r="G230" s="70"/>
      <c r="H230" s="70"/>
      <c r="I230" s="70"/>
      <c r="J230" s="70"/>
      <c r="K230" s="70"/>
      <c r="L230" s="70"/>
      <c r="M230" s="70"/>
      <c r="N230" s="77"/>
      <c r="O230" s="603"/>
    </row>
    <row r="231" spans="2:16" x14ac:dyDescent="0.2">
      <c r="B231" s="75"/>
      <c r="C231" s="1433"/>
      <c r="D231" s="1435" t="s">
        <v>530</v>
      </c>
      <c r="E231" s="1437"/>
      <c r="F231" s="149">
        <v>1</v>
      </c>
      <c r="G231" s="151">
        <v>0</v>
      </c>
      <c r="H231" s="151">
        <f>+G231</f>
        <v>0</v>
      </c>
      <c r="I231" s="151">
        <f t="shared" ref="I231:K233" si="81">+H231</f>
        <v>0</v>
      </c>
      <c r="J231" s="151">
        <f>+I231</f>
        <v>0</v>
      </c>
      <c r="K231" s="151">
        <f t="shared" si="81"/>
        <v>0</v>
      </c>
      <c r="L231" s="151">
        <f t="shared" ref="L231:M233" si="82">+K231</f>
        <v>0</v>
      </c>
      <c r="M231" s="151">
        <f t="shared" si="82"/>
        <v>0</v>
      </c>
      <c r="N231" s="77"/>
      <c r="O231" s="603"/>
    </row>
    <row r="232" spans="2:16" x14ac:dyDescent="0.2">
      <c r="B232" s="75"/>
      <c r="C232" s="1433"/>
      <c r="D232" s="1433"/>
      <c r="E232" s="1433"/>
      <c r="F232" s="149">
        <v>2</v>
      </c>
      <c r="G232" s="151">
        <v>0</v>
      </c>
      <c r="H232" s="151">
        <f>+G232</f>
        <v>0</v>
      </c>
      <c r="I232" s="151">
        <f t="shared" si="81"/>
        <v>0</v>
      </c>
      <c r="J232" s="151">
        <f>+I232</f>
        <v>0</v>
      </c>
      <c r="K232" s="151">
        <f t="shared" si="81"/>
        <v>0</v>
      </c>
      <c r="L232" s="151">
        <f t="shared" si="82"/>
        <v>0</v>
      </c>
      <c r="M232" s="151">
        <f t="shared" si="82"/>
        <v>0</v>
      </c>
      <c r="N232" s="77"/>
      <c r="O232" s="603"/>
    </row>
    <row r="233" spans="2:16" x14ac:dyDescent="0.2">
      <c r="B233" s="75"/>
      <c r="C233" s="1433"/>
      <c r="D233" s="1433"/>
      <c r="E233" s="1433"/>
      <c r="F233" s="149">
        <v>3</v>
      </c>
      <c r="G233" s="151">
        <v>0</v>
      </c>
      <c r="H233" s="151">
        <f>+G233</f>
        <v>0</v>
      </c>
      <c r="I233" s="151">
        <f t="shared" si="81"/>
        <v>0</v>
      </c>
      <c r="J233" s="151">
        <f>+I233</f>
        <v>0</v>
      </c>
      <c r="K233" s="151">
        <f t="shared" si="81"/>
        <v>0</v>
      </c>
      <c r="L233" s="151">
        <f t="shared" si="82"/>
        <v>0</v>
      </c>
      <c r="M233" s="151">
        <f t="shared" si="82"/>
        <v>0</v>
      </c>
      <c r="N233" s="77"/>
      <c r="O233" s="190"/>
    </row>
    <row r="234" spans="2:16" x14ac:dyDescent="0.2">
      <c r="B234" s="75"/>
      <c r="C234" s="1433"/>
      <c r="D234" s="1433"/>
      <c r="E234" s="1433"/>
      <c r="F234" s="149"/>
      <c r="G234" s="70"/>
      <c r="H234" s="70"/>
      <c r="I234" s="70"/>
      <c r="J234" s="70"/>
      <c r="K234" s="70"/>
      <c r="L234" s="70"/>
      <c r="M234" s="70"/>
      <c r="N234" s="77"/>
      <c r="O234" s="190"/>
    </row>
    <row r="235" spans="2:16" x14ac:dyDescent="0.2">
      <c r="B235" s="75"/>
      <c r="C235" s="1433"/>
      <c r="D235" s="1435" t="s">
        <v>531</v>
      </c>
      <c r="E235" s="1437"/>
      <c r="F235" s="149">
        <v>1</v>
      </c>
      <c r="G235" s="151">
        <v>0</v>
      </c>
      <c r="H235" s="151">
        <f>+G235</f>
        <v>0</v>
      </c>
      <c r="I235" s="151">
        <f t="shared" ref="I235:K237" si="83">+H235</f>
        <v>0</v>
      </c>
      <c r="J235" s="151">
        <f>+I235</f>
        <v>0</v>
      </c>
      <c r="K235" s="151">
        <f t="shared" si="83"/>
        <v>0</v>
      </c>
      <c r="L235" s="151">
        <f t="shared" ref="L235:M237" si="84">+K235</f>
        <v>0</v>
      </c>
      <c r="M235" s="151">
        <f t="shared" si="84"/>
        <v>0</v>
      </c>
      <c r="N235" s="77"/>
      <c r="O235" s="190"/>
    </row>
    <row r="236" spans="2:16" x14ac:dyDescent="0.2">
      <c r="B236" s="75"/>
      <c r="C236" s="1433"/>
      <c r="D236" s="1433"/>
      <c r="E236" s="1433"/>
      <c r="F236" s="149">
        <v>2</v>
      </c>
      <c r="G236" s="151">
        <v>0</v>
      </c>
      <c r="H236" s="151">
        <f>+G236</f>
        <v>0</v>
      </c>
      <c r="I236" s="151">
        <f t="shared" si="83"/>
        <v>0</v>
      </c>
      <c r="J236" s="151">
        <f>+I236</f>
        <v>0</v>
      </c>
      <c r="K236" s="151">
        <f t="shared" si="83"/>
        <v>0</v>
      </c>
      <c r="L236" s="151">
        <f t="shared" si="84"/>
        <v>0</v>
      </c>
      <c r="M236" s="151">
        <f t="shared" si="84"/>
        <v>0</v>
      </c>
      <c r="N236" s="77"/>
      <c r="O236" s="190"/>
    </row>
    <row r="237" spans="2:16" x14ac:dyDescent="0.2">
      <c r="B237" s="75"/>
      <c r="C237" s="1433"/>
      <c r="D237" s="1433"/>
      <c r="E237" s="1433"/>
      <c r="F237" s="149">
        <v>3</v>
      </c>
      <c r="G237" s="151">
        <v>0</v>
      </c>
      <c r="H237" s="151">
        <f>+G237</f>
        <v>0</v>
      </c>
      <c r="I237" s="151">
        <f t="shared" si="83"/>
        <v>0</v>
      </c>
      <c r="J237" s="151">
        <f>+I237</f>
        <v>0</v>
      </c>
      <c r="K237" s="151">
        <f t="shared" si="83"/>
        <v>0</v>
      </c>
      <c r="L237" s="151">
        <f t="shared" si="84"/>
        <v>0</v>
      </c>
      <c r="M237" s="151">
        <f t="shared" si="84"/>
        <v>0</v>
      </c>
      <c r="N237" s="77"/>
      <c r="O237" s="190"/>
    </row>
    <row r="238" spans="2:16" x14ac:dyDescent="0.2">
      <c r="B238" s="75"/>
      <c r="C238" s="1433"/>
      <c r="D238" s="1433"/>
      <c r="E238" s="1433"/>
      <c r="F238" s="149"/>
      <c r="G238" s="70"/>
      <c r="H238" s="70"/>
      <c r="I238" s="70"/>
      <c r="J238" s="70"/>
      <c r="K238" s="70"/>
      <c r="L238" s="70"/>
      <c r="M238" s="70"/>
      <c r="N238" s="77"/>
      <c r="O238" s="190"/>
    </row>
    <row r="239" spans="2:16" x14ac:dyDescent="0.2">
      <c r="B239" s="79"/>
      <c r="C239" s="1438"/>
      <c r="D239" s="1438"/>
      <c r="E239" s="1438"/>
      <c r="F239" s="1432"/>
      <c r="G239" s="834">
        <f t="shared" ref="G239:L239" si="85">SUM(G99:G237)</f>
        <v>485</v>
      </c>
      <c r="H239" s="834">
        <f t="shared" si="85"/>
        <v>510</v>
      </c>
      <c r="I239" s="834">
        <f t="shared" si="85"/>
        <v>495</v>
      </c>
      <c r="J239" s="834">
        <f t="shared" si="85"/>
        <v>495</v>
      </c>
      <c r="K239" s="834">
        <f t="shared" si="85"/>
        <v>495</v>
      </c>
      <c r="L239" s="834">
        <f t="shared" si="85"/>
        <v>495</v>
      </c>
      <c r="M239" s="834">
        <f>SUM(M99:M237)</f>
        <v>495</v>
      </c>
      <c r="N239" s="90"/>
      <c r="O239" s="190"/>
    </row>
    <row r="240" spans="2:16" x14ac:dyDescent="0.2">
      <c r="B240" s="75"/>
      <c r="C240" s="841"/>
      <c r="D240" s="841"/>
      <c r="E240" s="841"/>
      <c r="F240" s="841"/>
      <c r="G240" s="841"/>
      <c r="H240" s="841"/>
      <c r="I240" s="841"/>
      <c r="J240" s="841"/>
      <c r="K240" s="841"/>
      <c r="L240" s="841"/>
      <c r="M240" s="841"/>
      <c r="N240" s="77"/>
      <c r="O240" s="190"/>
    </row>
    <row r="241" spans="2:54" x14ac:dyDescent="0.2">
      <c r="B241" s="85"/>
      <c r="C241" s="678"/>
      <c r="D241" s="678"/>
      <c r="E241" s="678"/>
      <c r="F241" s="679"/>
      <c r="G241" s="679"/>
      <c r="H241" s="679"/>
      <c r="I241" s="679"/>
      <c r="J241" s="679"/>
      <c r="K241" s="679"/>
      <c r="L241" s="679"/>
      <c r="M241" s="679"/>
      <c r="N241" s="84"/>
      <c r="O241" s="190"/>
    </row>
    <row r="242" spans="2:54" ht="12" customHeight="1" x14ac:dyDescent="0.2">
      <c r="BB242" s="192"/>
    </row>
    <row r="243" spans="2:54" ht="12" customHeight="1" x14ac:dyDescent="0.2"/>
    <row r="244" spans="2:54" ht="12" customHeight="1" x14ac:dyDescent="0.2"/>
    <row r="245" spans="2:54" ht="12" customHeight="1" x14ac:dyDescent="0.2"/>
    <row r="246" spans="2:54" ht="12" customHeight="1" x14ac:dyDescent="0.2"/>
    <row r="247" spans="2:54" ht="12" customHeight="1" x14ac:dyDescent="0.2"/>
    <row r="248" spans="2:54" ht="12" customHeight="1" x14ac:dyDescent="0.2"/>
    <row r="249" spans="2:54" ht="12" customHeight="1" x14ac:dyDescent="0.2"/>
    <row r="250" spans="2:54" ht="12" customHeight="1" x14ac:dyDescent="0.2"/>
    <row r="251" spans="2:54" ht="12" customHeight="1" x14ac:dyDescent="0.2"/>
    <row r="252" spans="2:54" ht="12" customHeight="1" x14ac:dyDescent="0.2"/>
    <row r="253" spans="2:54" ht="12" customHeight="1" x14ac:dyDescent="0.2"/>
    <row r="254" spans="2:54" ht="12" customHeight="1" x14ac:dyDescent="0.2">
      <c r="B254" s="192"/>
      <c r="C254" s="192"/>
      <c r="D254" s="192"/>
      <c r="E254" s="192"/>
      <c r="F254" s="193"/>
      <c r="G254" s="192"/>
      <c r="H254" s="192"/>
      <c r="I254" s="192"/>
      <c r="J254" s="192"/>
      <c r="K254" s="192"/>
      <c r="L254" s="192"/>
      <c r="M254" s="192"/>
      <c r="N254" s="192"/>
      <c r="O254" s="192"/>
      <c r="P254" s="192"/>
      <c r="Q254" s="192"/>
      <c r="R254" s="169"/>
    </row>
    <row r="255" spans="2:54" ht="12" customHeight="1" x14ac:dyDescent="0.2"/>
    <row r="256" spans="2:54" ht="12" customHeight="1" x14ac:dyDescent="0.2"/>
    <row r="257" spans="2:36" ht="12" customHeight="1" x14ac:dyDescent="0.2"/>
    <row r="258" spans="2:36" ht="12" customHeight="1" x14ac:dyDescent="0.2"/>
    <row r="259" spans="2:36" ht="12" customHeight="1" x14ac:dyDescent="0.2">
      <c r="B259" s="192"/>
      <c r="C259" s="192"/>
      <c r="D259" s="192"/>
      <c r="E259" s="192"/>
      <c r="F259" s="193"/>
      <c r="G259" s="192"/>
      <c r="H259" s="192"/>
      <c r="I259" s="192"/>
      <c r="J259" s="192"/>
      <c r="K259" s="192"/>
      <c r="L259" s="192"/>
      <c r="M259" s="192"/>
      <c r="N259" s="192"/>
      <c r="O259" s="192"/>
      <c r="P259" s="192"/>
      <c r="Q259" s="192"/>
    </row>
    <row r="260" spans="2:36" ht="12" customHeight="1" x14ac:dyDescent="0.2"/>
    <row r="261" spans="2:36" ht="12" customHeight="1" x14ac:dyDescent="0.2"/>
    <row r="262" spans="2:36" ht="12" customHeight="1" x14ac:dyDescent="0.2">
      <c r="AJ262" s="192"/>
    </row>
    <row r="263" spans="2:36" ht="12" customHeight="1" x14ac:dyDescent="0.2">
      <c r="R263" s="192"/>
    </row>
    <row r="264" spans="2:36" ht="12" customHeight="1" x14ac:dyDescent="0.2">
      <c r="B264" s="192"/>
      <c r="C264" s="192"/>
      <c r="D264" s="192"/>
      <c r="E264" s="192"/>
      <c r="F264" s="193"/>
      <c r="G264" s="192"/>
      <c r="H264" s="192"/>
      <c r="I264" s="192"/>
      <c r="J264" s="192"/>
      <c r="K264" s="192"/>
      <c r="L264" s="192"/>
      <c r="M264" s="192"/>
      <c r="N264" s="192"/>
      <c r="O264" s="192"/>
      <c r="P264" s="192"/>
      <c r="Q264" s="192"/>
    </row>
    <row r="265" spans="2:36" ht="12" customHeight="1" x14ac:dyDescent="0.2"/>
    <row r="266" spans="2:36" ht="12" customHeight="1" x14ac:dyDescent="0.2"/>
    <row r="267" spans="2:36" ht="12" customHeight="1" x14ac:dyDescent="0.2">
      <c r="AJ267" s="192"/>
    </row>
    <row r="268" spans="2:36" ht="12" customHeight="1" x14ac:dyDescent="0.2"/>
    <row r="269" spans="2:36" ht="12" customHeight="1" x14ac:dyDescent="0.2">
      <c r="B269" s="192"/>
      <c r="C269" s="192"/>
      <c r="D269" s="192"/>
      <c r="E269" s="192"/>
      <c r="F269" s="193"/>
      <c r="G269" s="192"/>
      <c r="H269" s="192"/>
      <c r="I269" s="192"/>
      <c r="J269" s="192"/>
      <c r="K269" s="192"/>
      <c r="L269" s="192"/>
      <c r="M269" s="192"/>
      <c r="N269" s="192"/>
      <c r="O269" s="192"/>
      <c r="P269" s="192"/>
      <c r="Q269" s="192"/>
    </row>
    <row r="270" spans="2:36" ht="12" customHeight="1" x14ac:dyDescent="0.2"/>
    <row r="271" spans="2:36" ht="12" customHeight="1" x14ac:dyDescent="0.2"/>
    <row r="272" spans="2:36" ht="12" customHeight="1" x14ac:dyDescent="0.2"/>
    <row r="273" spans="2:36" ht="12" customHeight="1" x14ac:dyDescent="0.2"/>
    <row r="274" spans="2:36" ht="12" customHeight="1" x14ac:dyDescent="0.2">
      <c r="B274" s="192"/>
      <c r="C274" s="192"/>
      <c r="D274" s="192"/>
      <c r="E274" s="192"/>
      <c r="F274" s="193"/>
      <c r="G274" s="192"/>
      <c r="H274" s="192"/>
      <c r="I274" s="192"/>
      <c r="J274" s="192"/>
      <c r="K274" s="192"/>
      <c r="L274" s="192"/>
      <c r="M274" s="192"/>
      <c r="N274" s="192"/>
      <c r="O274" s="192"/>
      <c r="P274" s="192"/>
      <c r="Q274" s="192"/>
    </row>
    <row r="275" spans="2:36" ht="12" customHeight="1" x14ac:dyDescent="0.2"/>
    <row r="276" spans="2:36" ht="12" customHeight="1" x14ac:dyDescent="0.2"/>
    <row r="277" spans="2:36" ht="12" customHeight="1" x14ac:dyDescent="0.2"/>
    <row r="278" spans="2:36" ht="12" customHeight="1" x14ac:dyDescent="0.2"/>
    <row r="279" spans="2:36" ht="12" customHeight="1" x14ac:dyDescent="0.2"/>
    <row r="280" spans="2:36" ht="12" customHeight="1" x14ac:dyDescent="0.2">
      <c r="AJ280" s="192"/>
    </row>
    <row r="281" spans="2:36" ht="12" customHeight="1" x14ac:dyDescent="0.2"/>
    <row r="282" spans="2:36" ht="12" customHeight="1" x14ac:dyDescent="0.2"/>
    <row r="283" spans="2:36" ht="12" customHeight="1" x14ac:dyDescent="0.2"/>
    <row r="284" spans="2:36" ht="12" customHeight="1" x14ac:dyDescent="0.2"/>
    <row r="285" spans="2:36" ht="12" customHeight="1" x14ac:dyDescent="0.2"/>
    <row r="286" spans="2:36" ht="12" customHeight="1" x14ac:dyDescent="0.2">
      <c r="AJ286" s="192"/>
    </row>
    <row r="287" spans="2:36" ht="12" customHeight="1" x14ac:dyDescent="0.2">
      <c r="B287" s="192"/>
      <c r="C287" s="192"/>
      <c r="D287" s="192"/>
      <c r="E287" s="192"/>
      <c r="F287" s="193"/>
      <c r="G287" s="192"/>
      <c r="H287" s="192"/>
      <c r="I287" s="192"/>
      <c r="J287" s="192"/>
      <c r="K287" s="192"/>
      <c r="L287" s="192"/>
      <c r="M287" s="192"/>
      <c r="N287" s="192"/>
      <c r="O287" s="192"/>
      <c r="P287" s="192"/>
      <c r="Q287" s="192"/>
    </row>
    <row r="288" spans="2:36" ht="12" customHeight="1" x14ac:dyDescent="0.2">
      <c r="S288" s="192"/>
    </row>
    <row r="289" spans="1:36" ht="12" customHeight="1" x14ac:dyDescent="0.2"/>
    <row r="290" spans="1:36" ht="12" customHeight="1" x14ac:dyDescent="0.2">
      <c r="A290" s="169"/>
    </row>
    <row r="291" spans="1:36" ht="12" customHeight="1" x14ac:dyDescent="0.2"/>
    <row r="292" spans="1:36" ht="12" customHeight="1" x14ac:dyDescent="0.2">
      <c r="AJ292" s="192"/>
    </row>
    <row r="293" spans="1:36" ht="12" customHeight="1" x14ac:dyDescent="0.2">
      <c r="B293" s="192"/>
      <c r="C293" s="192"/>
      <c r="D293" s="192"/>
      <c r="E293" s="192"/>
      <c r="F293" s="193"/>
      <c r="G293" s="192"/>
      <c r="H293" s="192"/>
      <c r="I293" s="192"/>
      <c r="J293" s="192"/>
      <c r="K293" s="192"/>
      <c r="L293" s="192"/>
      <c r="M293" s="192"/>
      <c r="N293" s="192"/>
      <c r="O293" s="192"/>
      <c r="P293" s="192"/>
      <c r="Q293" s="192"/>
      <c r="S293" s="192"/>
    </row>
    <row r="294" spans="1:36" ht="12" customHeight="1" x14ac:dyDescent="0.2"/>
    <row r="295" spans="1:36" ht="12" customHeight="1" x14ac:dyDescent="0.2"/>
    <row r="296" spans="1:36" ht="12" customHeight="1" x14ac:dyDescent="0.2"/>
    <row r="297" spans="1:36" ht="12" customHeight="1" x14ac:dyDescent="0.2"/>
    <row r="298" spans="1:36" ht="12" customHeight="1" x14ac:dyDescent="0.2">
      <c r="S298" s="192"/>
      <c r="AJ298" s="192"/>
    </row>
    <row r="299" spans="1:36" ht="12" customHeight="1" x14ac:dyDescent="0.2">
      <c r="B299" s="192"/>
      <c r="C299" s="192"/>
      <c r="D299" s="192"/>
      <c r="E299" s="192"/>
      <c r="F299" s="193"/>
      <c r="G299" s="192"/>
      <c r="H299" s="192"/>
      <c r="I299" s="192"/>
      <c r="J299" s="192"/>
      <c r="K299" s="192"/>
      <c r="L299" s="192"/>
      <c r="M299" s="192"/>
      <c r="N299" s="192"/>
      <c r="O299" s="192"/>
      <c r="P299" s="192"/>
      <c r="Q299" s="192"/>
    </row>
    <row r="300" spans="1:36" ht="12" customHeight="1" x14ac:dyDescent="0.2"/>
    <row r="301" spans="1:36" ht="12" customHeight="1" x14ac:dyDescent="0.2"/>
    <row r="302" spans="1:36" ht="12" customHeight="1" x14ac:dyDescent="0.2"/>
    <row r="303" spans="1:36" ht="12" customHeight="1" x14ac:dyDescent="0.2">
      <c r="S303" s="192"/>
    </row>
    <row r="304" spans="1:36" ht="12" customHeight="1" x14ac:dyDescent="0.2">
      <c r="AJ304" s="192"/>
    </row>
    <row r="305" spans="2:36" ht="12" customHeight="1" x14ac:dyDescent="0.2">
      <c r="B305" s="192"/>
      <c r="C305" s="192"/>
      <c r="D305" s="192"/>
      <c r="E305" s="192"/>
      <c r="F305" s="193"/>
      <c r="G305" s="192"/>
      <c r="H305" s="192"/>
      <c r="I305" s="192"/>
      <c r="J305" s="192"/>
      <c r="K305" s="192"/>
      <c r="L305" s="192"/>
      <c r="M305" s="192"/>
      <c r="N305" s="192"/>
      <c r="O305" s="192"/>
      <c r="P305" s="192"/>
      <c r="Q305" s="192"/>
    </row>
    <row r="306" spans="2:36" ht="12" customHeight="1" x14ac:dyDescent="0.2"/>
    <row r="307" spans="2:36" ht="12" customHeight="1" x14ac:dyDescent="0.2"/>
    <row r="308" spans="2:36" ht="12" customHeight="1" x14ac:dyDescent="0.2">
      <c r="S308" s="192"/>
    </row>
    <row r="309" spans="2:36" ht="12" customHeight="1" x14ac:dyDescent="0.2"/>
    <row r="310" spans="2:36" ht="12" customHeight="1" x14ac:dyDescent="0.2">
      <c r="AJ310" s="192"/>
    </row>
    <row r="311" spans="2:36" ht="12" customHeight="1" x14ac:dyDescent="0.2">
      <c r="B311" s="192"/>
      <c r="C311" s="192"/>
      <c r="D311" s="192"/>
      <c r="E311" s="192"/>
      <c r="F311" s="193"/>
      <c r="G311" s="192"/>
      <c r="H311" s="192"/>
      <c r="I311" s="192"/>
      <c r="J311" s="192"/>
      <c r="K311" s="192"/>
      <c r="L311" s="192"/>
      <c r="M311" s="192"/>
      <c r="N311" s="192"/>
      <c r="O311" s="192"/>
      <c r="P311" s="192"/>
      <c r="Q311" s="192"/>
    </row>
    <row r="312" spans="2:36" ht="12" customHeight="1" x14ac:dyDescent="0.2"/>
    <row r="313" spans="2:36" ht="12" customHeight="1" x14ac:dyDescent="0.2"/>
    <row r="314" spans="2:36" ht="12" customHeight="1" x14ac:dyDescent="0.2"/>
    <row r="315" spans="2:36" ht="12" customHeight="1" x14ac:dyDescent="0.2"/>
    <row r="316" spans="2:36" ht="12" customHeight="1" x14ac:dyDescent="0.2"/>
    <row r="317" spans="2:36" ht="12" customHeight="1" x14ac:dyDescent="0.2">
      <c r="B317" s="192"/>
      <c r="C317" s="192"/>
      <c r="D317" s="192"/>
      <c r="E317" s="192"/>
      <c r="F317" s="193"/>
      <c r="G317" s="192"/>
      <c r="H317" s="192"/>
      <c r="I317" s="192"/>
      <c r="J317" s="192"/>
      <c r="K317" s="192"/>
      <c r="L317" s="192"/>
      <c r="M317" s="192"/>
      <c r="N317" s="192"/>
      <c r="O317" s="192"/>
      <c r="P317" s="192"/>
      <c r="Q317" s="192"/>
    </row>
    <row r="318" spans="2:36" ht="12" customHeight="1" x14ac:dyDescent="0.2"/>
    <row r="319" spans="2:36" ht="12" customHeight="1" x14ac:dyDescent="0.2"/>
    <row r="320" spans="2:36" ht="12" customHeight="1" x14ac:dyDescent="0.2"/>
    <row r="321" spans="2:36" ht="12" customHeight="1" x14ac:dyDescent="0.2">
      <c r="S321" s="192"/>
    </row>
    <row r="322" spans="2:36" ht="12" customHeight="1" x14ac:dyDescent="0.2"/>
    <row r="323" spans="2:36" ht="12" customHeight="1" x14ac:dyDescent="0.2">
      <c r="AJ323" s="192"/>
    </row>
    <row r="324" spans="2:36" ht="12" customHeight="1" x14ac:dyDescent="0.2"/>
    <row r="325" spans="2:36" ht="12" customHeight="1" x14ac:dyDescent="0.2"/>
    <row r="326" spans="2:36" ht="12" customHeight="1" x14ac:dyDescent="0.2"/>
    <row r="327" spans="2:36" ht="12" customHeight="1" x14ac:dyDescent="0.2">
      <c r="S327" s="192"/>
    </row>
    <row r="328" spans="2:36" ht="12" customHeight="1" x14ac:dyDescent="0.2"/>
    <row r="329" spans="2:36" ht="12" customHeight="1" x14ac:dyDescent="0.2">
      <c r="AJ329" s="192"/>
    </row>
    <row r="330" spans="2:36" ht="12" customHeight="1" x14ac:dyDescent="0.2">
      <c r="B330" s="192"/>
      <c r="C330" s="192"/>
      <c r="D330" s="192"/>
      <c r="E330" s="192"/>
      <c r="F330" s="193"/>
      <c r="G330" s="192"/>
      <c r="H330" s="192"/>
      <c r="I330" s="192"/>
      <c r="J330" s="192"/>
      <c r="K330" s="192"/>
      <c r="L330" s="192"/>
      <c r="M330" s="192"/>
      <c r="N330" s="192"/>
      <c r="O330" s="192"/>
      <c r="P330" s="192"/>
      <c r="Q330" s="192"/>
    </row>
    <row r="331" spans="2:36" ht="12" customHeight="1" x14ac:dyDescent="0.2"/>
    <row r="332" spans="2:36" ht="12" customHeight="1" x14ac:dyDescent="0.2"/>
    <row r="333" spans="2:36" ht="12" customHeight="1" x14ac:dyDescent="0.2">
      <c r="S333" s="192"/>
    </row>
    <row r="334" spans="2:36" ht="12" customHeight="1" x14ac:dyDescent="0.2"/>
    <row r="335" spans="2:36" ht="12" customHeight="1" x14ac:dyDescent="0.2">
      <c r="AJ335" s="192"/>
    </row>
    <row r="336" spans="2:36" ht="12" customHeight="1" x14ac:dyDescent="0.2">
      <c r="B336" s="192"/>
      <c r="C336" s="192"/>
      <c r="D336" s="192"/>
      <c r="E336" s="192"/>
      <c r="F336" s="193"/>
      <c r="G336" s="192"/>
      <c r="H336" s="192"/>
      <c r="I336" s="192"/>
      <c r="J336" s="192"/>
      <c r="K336" s="192"/>
      <c r="L336" s="192"/>
      <c r="M336" s="192"/>
      <c r="N336" s="192"/>
      <c r="O336" s="192"/>
      <c r="P336" s="192"/>
      <c r="Q336" s="192"/>
    </row>
    <row r="337" spans="1:36" ht="12" customHeight="1" x14ac:dyDescent="0.2"/>
    <row r="338" spans="1:36" ht="12" customHeight="1" x14ac:dyDescent="0.2"/>
    <row r="339" spans="1:36" ht="12" customHeight="1" x14ac:dyDescent="0.2">
      <c r="S339" s="192"/>
    </row>
    <row r="340" spans="1:36" ht="12" customHeight="1" x14ac:dyDescent="0.2"/>
    <row r="341" spans="1:36" ht="12" customHeight="1" x14ac:dyDescent="0.2">
      <c r="AJ341" s="192"/>
    </row>
    <row r="342" spans="1:36" ht="12" customHeight="1" x14ac:dyDescent="0.2">
      <c r="A342" s="192"/>
      <c r="B342" s="192"/>
      <c r="C342" s="192"/>
      <c r="D342" s="192"/>
      <c r="E342" s="192"/>
      <c r="F342" s="193"/>
      <c r="G342" s="192"/>
      <c r="H342" s="192"/>
      <c r="I342" s="192"/>
      <c r="J342" s="192"/>
      <c r="K342" s="192"/>
      <c r="L342" s="192"/>
      <c r="M342" s="192"/>
      <c r="N342" s="192"/>
      <c r="O342" s="192"/>
      <c r="P342" s="192"/>
      <c r="Q342" s="192"/>
    </row>
    <row r="343" spans="1:36" ht="12" customHeight="1" x14ac:dyDescent="0.2"/>
    <row r="344" spans="1:36" ht="12" customHeight="1" x14ac:dyDescent="0.2"/>
    <row r="345" spans="1:36" ht="12" customHeight="1" x14ac:dyDescent="0.2">
      <c r="S345" s="192"/>
    </row>
    <row r="346" spans="1:36" ht="12" customHeight="1" x14ac:dyDescent="0.2"/>
    <row r="347" spans="1:36" ht="12" customHeight="1" x14ac:dyDescent="0.2">
      <c r="A347" s="192"/>
      <c r="AJ347" s="192"/>
    </row>
    <row r="348" spans="1:36" ht="12" customHeight="1" x14ac:dyDescent="0.2">
      <c r="B348" s="192"/>
      <c r="C348" s="192"/>
      <c r="D348" s="192"/>
      <c r="E348" s="192"/>
      <c r="F348" s="193"/>
      <c r="G348" s="192"/>
      <c r="H348" s="192"/>
      <c r="I348" s="192"/>
      <c r="J348" s="192"/>
      <c r="K348" s="192"/>
      <c r="L348" s="192"/>
      <c r="M348" s="192"/>
      <c r="N348" s="192"/>
      <c r="O348" s="192"/>
      <c r="P348" s="192"/>
      <c r="Q348" s="192"/>
    </row>
    <row r="349" spans="1:36" ht="12" customHeight="1" x14ac:dyDescent="0.2"/>
    <row r="350" spans="1:36" ht="12" customHeight="1" x14ac:dyDescent="0.2"/>
    <row r="351" spans="1:36" ht="12" customHeight="1" x14ac:dyDescent="0.2">
      <c r="S351" s="192"/>
    </row>
    <row r="352" spans="1:36" ht="12" customHeight="1" x14ac:dyDescent="0.2">
      <c r="A352" s="192"/>
    </row>
    <row r="353" spans="1:36" ht="12" customHeight="1" x14ac:dyDescent="0.2">
      <c r="AJ353" s="192"/>
    </row>
    <row r="354" spans="1:36" ht="12" customHeight="1" x14ac:dyDescent="0.2">
      <c r="B354" s="192"/>
      <c r="C354" s="192"/>
      <c r="D354" s="192"/>
      <c r="E354" s="192"/>
      <c r="F354" s="193"/>
      <c r="G354" s="192"/>
      <c r="H354" s="192"/>
      <c r="I354" s="192"/>
      <c r="J354" s="192"/>
      <c r="K354" s="192"/>
      <c r="L354" s="192"/>
      <c r="M354" s="192"/>
      <c r="N354" s="192"/>
      <c r="O354" s="192"/>
      <c r="P354" s="192"/>
      <c r="Q354" s="192"/>
    </row>
    <row r="355" spans="1:36" ht="12" customHeight="1" x14ac:dyDescent="0.2"/>
    <row r="356" spans="1:36" ht="12" customHeight="1" x14ac:dyDescent="0.2"/>
    <row r="357" spans="1:36" ht="12" customHeight="1" x14ac:dyDescent="0.2">
      <c r="A357" s="192"/>
    </row>
    <row r="358" spans="1:36" ht="12" customHeight="1" x14ac:dyDescent="0.2"/>
    <row r="360" spans="1:36" x14ac:dyDescent="0.2">
      <c r="B360" s="192"/>
      <c r="C360" s="192"/>
      <c r="D360" s="192"/>
      <c r="E360" s="192"/>
      <c r="F360" s="193"/>
      <c r="G360" s="192"/>
      <c r="H360" s="192"/>
      <c r="I360" s="192"/>
      <c r="J360" s="192"/>
      <c r="K360" s="192"/>
      <c r="L360" s="192"/>
      <c r="M360" s="192"/>
      <c r="N360" s="192"/>
      <c r="O360" s="192"/>
      <c r="P360" s="192"/>
      <c r="Q360" s="192"/>
    </row>
    <row r="362" spans="1:36" x14ac:dyDescent="0.2">
      <c r="A362" s="192"/>
    </row>
    <row r="364" spans="1:36" x14ac:dyDescent="0.2">
      <c r="S364" s="192"/>
    </row>
    <row r="366" spans="1:36" s="169" customFormat="1" x14ac:dyDescent="0.2">
      <c r="A366" s="190"/>
      <c r="B366" s="190"/>
      <c r="C366" s="190"/>
      <c r="D366" s="190"/>
      <c r="E366" s="190"/>
      <c r="F366" s="194"/>
      <c r="G366" s="190"/>
      <c r="H366" s="190"/>
      <c r="I366" s="194"/>
      <c r="J366" s="194"/>
      <c r="K366" s="194"/>
      <c r="L366" s="194"/>
      <c r="M366" s="194"/>
      <c r="N366" s="194"/>
      <c r="O366" s="194"/>
      <c r="P366" s="190"/>
      <c r="Q366" s="190"/>
      <c r="R366" s="190"/>
      <c r="S366" s="190"/>
      <c r="T366" s="190"/>
      <c r="U366" s="190"/>
      <c r="V366" s="190"/>
      <c r="W366" s="190"/>
      <c r="X366" s="190"/>
      <c r="Y366" s="190"/>
      <c r="Z366" s="190"/>
      <c r="AA366" s="190"/>
      <c r="AB366" s="190"/>
      <c r="AC366" s="190"/>
      <c r="AD366" s="190"/>
      <c r="AE366" s="190"/>
      <c r="AF366" s="190"/>
      <c r="AG366" s="190"/>
      <c r="AH366" s="190"/>
      <c r="AI366" s="190"/>
      <c r="AJ366" s="190"/>
    </row>
    <row r="370" spans="1:19" x14ac:dyDescent="0.2">
      <c r="S370" s="192"/>
    </row>
    <row r="375" spans="1:19" x14ac:dyDescent="0.2">
      <c r="A375" s="192"/>
    </row>
    <row r="376" spans="1:19" x14ac:dyDescent="0.2">
      <c r="S376" s="192"/>
    </row>
    <row r="381" spans="1:19" x14ac:dyDescent="0.2">
      <c r="A381" s="192"/>
    </row>
    <row r="382" spans="1:19" x14ac:dyDescent="0.2">
      <c r="S382" s="192"/>
    </row>
    <row r="387" spans="1:19" x14ac:dyDescent="0.2">
      <c r="A387" s="192"/>
    </row>
    <row r="388" spans="1:19" x14ac:dyDescent="0.2">
      <c r="S388" s="192"/>
    </row>
    <row r="393" spans="1:19" x14ac:dyDescent="0.2">
      <c r="A393" s="192"/>
    </row>
    <row r="394" spans="1:19" x14ac:dyDescent="0.2">
      <c r="S394" s="192"/>
    </row>
    <row r="399" spans="1:19" x14ac:dyDescent="0.2">
      <c r="A399" s="192"/>
    </row>
    <row r="405" spans="1:1" x14ac:dyDescent="0.2">
      <c r="A405" s="192"/>
    </row>
    <row r="418" spans="1:36" s="192" customFormat="1" x14ac:dyDescent="0.2">
      <c r="B418" s="190"/>
      <c r="C418" s="190"/>
      <c r="D418" s="190"/>
      <c r="E418" s="190"/>
      <c r="F418" s="194"/>
      <c r="G418" s="190"/>
      <c r="H418" s="190"/>
      <c r="I418" s="194"/>
      <c r="J418" s="194"/>
      <c r="K418" s="194"/>
      <c r="L418" s="194"/>
      <c r="M418" s="194"/>
      <c r="N418" s="194"/>
      <c r="O418" s="194"/>
      <c r="P418" s="190"/>
      <c r="Q418" s="190"/>
      <c r="R418" s="190"/>
      <c r="S418" s="190"/>
      <c r="T418" s="190"/>
      <c r="U418" s="190"/>
      <c r="V418" s="190"/>
      <c r="W418" s="190"/>
      <c r="X418" s="190"/>
      <c r="Y418" s="190"/>
      <c r="Z418" s="190"/>
      <c r="AA418" s="190"/>
      <c r="AB418" s="190"/>
      <c r="AC418" s="190"/>
      <c r="AD418" s="190"/>
      <c r="AE418" s="190"/>
      <c r="AF418" s="190"/>
      <c r="AG418" s="190"/>
      <c r="AH418" s="190"/>
      <c r="AI418" s="190"/>
      <c r="AJ418" s="190"/>
    </row>
    <row r="423" spans="1:36" s="192" customFormat="1" x14ac:dyDescent="0.2">
      <c r="A423" s="190"/>
      <c r="B423" s="190"/>
      <c r="C423" s="190"/>
      <c r="D423" s="190"/>
      <c r="E423" s="190"/>
      <c r="F423" s="194"/>
      <c r="G423" s="190"/>
      <c r="H423" s="190"/>
      <c r="I423" s="194"/>
      <c r="J423" s="194"/>
      <c r="K423" s="194"/>
      <c r="L423" s="194"/>
      <c r="M423" s="194"/>
      <c r="N423" s="194"/>
      <c r="O423" s="194"/>
      <c r="P423" s="190"/>
      <c r="Q423" s="190"/>
      <c r="R423" s="190"/>
      <c r="S423" s="190"/>
      <c r="T423" s="190"/>
      <c r="U423" s="190"/>
      <c r="V423" s="190"/>
      <c r="W423" s="190"/>
      <c r="X423" s="190"/>
      <c r="Y423" s="190"/>
      <c r="Z423" s="190"/>
      <c r="AA423" s="190"/>
      <c r="AB423" s="190"/>
      <c r="AC423" s="190"/>
      <c r="AD423" s="190"/>
      <c r="AE423" s="190"/>
      <c r="AF423" s="190"/>
      <c r="AG423" s="190"/>
      <c r="AH423" s="190"/>
      <c r="AI423" s="190"/>
      <c r="AJ423" s="190"/>
    </row>
    <row r="424" spans="1:36" x14ac:dyDescent="0.2">
      <c r="A424" s="192"/>
    </row>
    <row r="428" spans="1:36" s="192" customFormat="1" x14ac:dyDescent="0.2">
      <c r="A428" s="190"/>
      <c r="B428" s="190"/>
      <c r="C428" s="190"/>
      <c r="D428" s="190"/>
      <c r="E428" s="190"/>
      <c r="F428" s="194"/>
      <c r="G428" s="190"/>
      <c r="H428" s="190"/>
      <c r="I428" s="194"/>
      <c r="J428" s="194"/>
      <c r="K428" s="194"/>
      <c r="L428" s="194"/>
      <c r="M428" s="194"/>
      <c r="N428" s="194"/>
      <c r="O428" s="194"/>
      <c r="P428" s="190"/>
      <c r="Q428" s="190"/>
      <c r="R428" s="190"/>
      <c r="S428" s="190"/>
      <c r="T428" s="190"/>
      <c r="U428" s="190"/>
      <c r="V428" s="190"/>
      <c r="W428" s="190"/>
      <c r="X428" s="190"/>
      <c r="Y428" s="190"/>
      <c r="Z428" s="190"/>
      <c r="AA428" s="190"/>
      <c r="AB428" s="190"/>
      <c r="AC428" s="190"/>
      <c r="AD428" s="190"/>
      <c r="AE428" s="190"/>
      <c r="AF428" s="190"/>
      <c r="AG428" s="190"/>
      <c r="AH428" s="190"/>
      <c r="AI428" s="190"/>
      <c r="AJ428" s="190"/>
    </row>
    <row r="430" spans="1:36" x14ac:dyDescent="0.2">
      <c r="A430" s="192"/>
    </row>
    <row r="433" spans="1:36" s="192" customFormat="1" x14ac:dyDescent="0.2">
      <c r="A433" s="190"/>
      <c r="B433" s="190"/>
      <c r="C433" s="190"/>
      <c r="D433" s="190"/>
      <c r="E433" s="190"/>
      <c r="F433" s="194"/>
      <c r="G433" s="190"/>
      <c r="H433" s="190"/>
      <c r="I433" s="194"/>
      <c r="J433" s="194"/>
      <c r="K433" s="194"/>
      <c r="L433" s="194"/>
      <c r="M433" s="194"/>
      <c r="N433" s="194"/>
      <c r="O433" s="194"/>
      <c r="P433" s="190"/>
      <c r="Q433" s="190"/>
      <c r="R433" s="190"/>
      <c r="S433" s="190"/>
      <c r="T433" s="190"/>
      <c r="U433" s="190"/>
      <c r="V433" s="190"/>
      <c r="W433" s="190"/>
      <c r="X433" s="190"/>
      <c r="Y433" s="190"/>
      <c r="Z433" s="190"/>
      <c r="AA433" s="190"/>
      <c r="AB433" s="190"/>
      <c r="AC433" s="190"/>
      <c r="AD433" s="190"/>
      <c r="AE433" s="190"/>
      <c r="AF433" s="190"/>
      <c r="AG433" s="190"/>
      <c r="AH433" s="190"/>
      <c r="AI433" s="190"/>
      <c r="AJ433" s="190"/>
    </row>
    <row r="436" spans="1:36" x14ac:dyDescent="0.2">
      <c r="A436" s="192"/>
    </row>
    <row r="438" spans="1:36" s="192" customFormat="1" x14ac:dyDescent="0.2">
      <c r="A438" s="190"/>
      <c r="B438" s="190"/>
      <c r="C438" s="190"/>
      <c r="D438" s="190"/>
      <c r="E438" s="190"/>
      <c r="F438" s="194"/>
      <c r="G438" s="190"/>
      <c r="H438" s="190"/>
      <c r="I438" s="194"/>
      <c r="J438" s="194"/>
      <c r="K438" s="194"/>
      <c r="L438" s="194"/>
      <c r="M438" s="194"/>
      <c r="N438" s="194"/>
      <c r="O438" s="194"/>
      <c r="P438" s="190"/>
      <c r="Q438" s="190"/>
      <c r="R438" s="190"/>
      <c r="S438" s="190"/>
      <c r="T438" s="190"/>
      <c r="U438" s="190"/>
      <c r="V438" s="190"/>
      <c r="W438" s="190"/>
      <c r="X438" s="190"/>
      <c r="Y438" s="190"/>
      <c r="Z438" s="190"/>
      <c r="AA438" s="190"/>
      <c r="AB438" s="190"/>
      <c r="AC438" s="190"/>
      <c r="AD438" s="190"/>
      <c r="AE438" s="190"/>
      <c r="AF438" s="190"/>
      <c r="AG438" s="190"/>
      <c r="AH438" s="190"/>
      <c r="AI438" s="190"/>
      <c r="AJ438" s="190"/>
    </row>
    <row r="441" spans="1:36" x14ac:dyDescent="0.2">
      <c r="R441" s="169"/>
    </row>
    <row r="442" spans="1:36" x14ac:dyDescent="0.2">
      <c r="A442" s="192"/>
    </row>
    <row r="448" spans="1:36" x14ac:dyDescent="0.2">
      <c r="A448" s="192"/>
    </row>
    <row r="451" spans="1:36" s="192" customFormat="1" x14ac:dyDescent="0.2">
      <c r="A451" s="190"/>
      <c r="B451" s="190"/>
      <c r="C451" s="190"/>
      <c r="D451" s="190"/>
      <c r="E451" s="190"/>
      <c r="F451" s="194"/>
      <c r="G451" s="190"/>
      <c r="H451" s="190"/>
      <c r="I451" s="194"/>
      <c r="J451" s="194"/>
      <c r="K451" s="194"/>
      <c r="L451" s="194"/>
      <c r="M451" s="194"/>
      <c r="N451" s="194"/>
      <c r="O451" s="194"/>
      <c r="P451" s="190"/>
      <c r="Q451" s="190"/>
      <c r="R451" s="190"/>
      <c r="S451" s="190"/>
      <c r="T451" s="190"/>
      <c r="U451" s="190"/>
      <c r="V451" s="190"/>
      <c r="W451" s="190"/>
      <c r="X451" s="190"/>
      <c r="Y451" s="190"/>
      <c r="Z451" s="190"/>
      <c r="AA451" s="190"/>
      <c r="AB451" s="190"/>
      <c r="AC451" s="190"/>
      <c r="AD451" s="190"/>
      <c r="AE451" s="190"/>
      <c r="AF451" s="190"/>
      <c r="AG451" s="190"/>
      <c r="AH451" s="190"/>
      <c r="AI451" s="190"/>
      <c r="AJ451" s="190"/>
    </row>
    <row r="457" spans="1:36" s="192" customFormat="1" x14ac:dyDescent="0.2">
      <c r="A457" s="190"/>
      <c r="B457" s="190"/>
      <c r="C457" s="190"/>
      <c r="D457" s="190"/>
      <c r="E457" s="190"/>
      <c r="F457" s="194"/>
      <c r="G457" s="190"/>
      <c r="H457" s="190"/>
      <c r="I457" s="194"/>
      <c r="J457" s="194"/>
      <c r="K457" s="194"/>
      <c r="L457" s="194"/>
      <c r="M457" s="194"/>
      <c r="N457" s="194"/>
      <c r="O457" s="194"/>
      <c r="P457" s="190"/>
      <c r="Q457" s="190"/>
      <c r="R457" s="190"/>
      <c r="S457" s="190"/>
      <c r="T457" s="190"/>
      <c r="U457" s="190"/>
      <c r="V457" s="190"/>
      <c r="W457" s="190"/>
      <c r="X457" s="190"/>
      <c r="Y457" s="190"/>
      <c r="Z457" s="190"/>
      <c r="AA457" s="190"/>
      <c r="AB457" s="190"/>
      <c r="AC457" s="190"/>
      <c r="AD457" s="190"/>
      <c r="AE457" s="190"/>
      <c r="AF457" s="190"/>
      <c r="AG457" s="190"/>
      <c r="AH457" s="190"/>
      <c r="AI457" s="190"/>
      <c r="AJ457" s="190"/>
    </row>
    <row r="463" spans="1:36" s="192" customFormat="1" x14ac:dyDescent="0.2">
      <c r="A463" s="190"/>
      <c r="B463" s="190"/>
      <c r="C463" s="190"/>
      <c r="D463" s="190"/>
      <c r="E463" s="190"/>
      <c r="F463" s="194"/>
      <c r="G463" s="190"/>
      <c r="H463" s="190"/>
      <c r="I463" s="194"/>
      <c r="J463" s="194"/>
      <c r="K463" s="194"/>
      <c r="L463" s="194"/>
      <c r="M463" s="194"/>
      <c r="N463" s="194"/>
      <c r="O463" s="194"/>
      <c r="P463" s="190"/>
      <c r="Q463" s="190"/>
      <c r="R463" s="190"/>
      <c r="S463" s="190"/>
      <c r="T463" s="190"/>
      <c r="U463" s="190"/>
      <c r="V463" s="190"/>
      <c r="W463" s="190"/>
      <c r="X463" s="190"/>
      <c r="Y463" s="190"/>
      <c r="Z463" s="190"/>
      <c r="AA463" s="190"/>
      <c r="AB463" s="190"/>
      <c r="AC463" s="190"/>
      <c r="AD463" s="190"/>
      <c r="AE463" s="190"/>
      <c r="AF463" s="190"/>
      <c r="AG463" s="190"/>
      <c r="AH463" s="190"/>
      <c r="AI463" s="190"/>
      <c r="AJ463" s="190"/>
    </row>
    <row r="469" spans="1:36" s="192" customFormat="1" x14ac:dyDescent="0.2">
      <c r="A469" s="190"/>
      <c r="B469" s="190"/>
      <c r="C469" s="190"/>
      <c r="D469" s="190"/>
      <c r="E469" s="190"/>
      <c r="F469" s="194"/>
      <c r="G469" s="190"/>
      <c r="H469" s="190"/>
      <c r="I469" s="194"/>
      <c r="J469" s="194"/>
      <c r="K469" s="194"/>
      <c r="L469" s="194"/>
      <c r="M469" s="194"/>
      <c r="N469" s="194"/>
      <c r="O469" s="194"/>
      <c r="P469" s="190"/>
      <c r="Q469" s="190"/>
      <c r="R469" s="190"/>
      <c r="S469" s="190"/>
      <c r="T469" s="190"/>
      <c r="U469" s="190"/>
      <c r="V469" s="190"/>
      <c r="W469" s="190"/>
      <c r="X469" s="190"/>
      <c r="Y469" s="190"/>
      <c r="Z469" s="190"/>
      <c r="AA469" s="190"/>
      <c r="AB469" s="190"/>
      <c r="AC469" s="190"/>
      <c r="AD469" s="190"/>
      <c r="AE469" s="190"/>
      <c r="AF469" s="190"/>
      <c r="AG469" s="190"/>
      <c r="AH469" s="190"/>
      <c r="AI469" s="190"/>
      <c r="AJ469" s="190"/>
    </row>
    <row r="475" spans="1:36" s="192" customFormat="1" x14ac:dyDescent="0.2">
      <c r="A475" s="190"/>
      <c r="B475" s="190"/>
      <c r="C475" s="190"/>
      <c r="D475" s="190"/>
      <c r="E475" s="190"/>
      <c r="F475" s="194"/>
      <c r="G475" s="190"/>
      <c r="H475" s="190"/>
      <c r="I475" s="194"/>
      <c r="J475" s="194"/>
      <c r="K475" s="194"/>
      <c r="L475" s="194"/>
      <c r="M475" s="194"/>
      <c r="N475" s="194"/>
      <c r="O475" s="194"/>
      <c r="P475" s="190"/>
      <c r="Q475" s="190"/>
      <c r="R475" s="190"/>
      <c r="S475" s="190"/>
      <c r="T475" s="190"/>
      <c r="U475" s="190"/>
      <c r="V475" s="190"/>
      <c r="W475" s="190"/>
      <c r="X475" s="190"/>
      <c r="Y475" s="190"/>
      <c r="Z475" s="190"/>
      <c r="AA475" s="190"/>
      <c r="AB475" s="190"/>
      <c r="AC475" s="190"/>
      <c r="AD475" s="190"/>
      <c r="AE475" s="190"/>
      <c r="AF475" s="190"/>
      <c r="AG475" s="190"/>
      <c r="AH475" s="190"/>
      <c r="AI475" s="190"/>
      <c r="AJ475" s="190"/>
    </row>
    <row r="481" spans="1:36" s="192" customFormat="1" x14ac:dyDescent="0.2">
      <c r="A481" s="190"/>
      <c r="B481" s="190"/>
      <c r="C481" s="190"/>
      <c r="D481" s="190"/>
      <c r="E481" s="190"/>
      <c r="F481" s="194"/>
      <c r="G481" s="190"/>
      <c r="H481" s="190"/>
      <c r="I481" s="194"/>
      <c r="J481" s="194"/>
      <c r="K481" s="194"/>
      <c r="L481" s="194"/>
      <c r="M481" s="194"/>
      <c r="N481" s="194"/>
      <c r="O481" s="194"/>
      <c r="P481" s="190"/>
      <c r="Q481" s="190"/>
      <c r="R481" s="190"/>
      <c r="S481" s="190"/>
      <c r="T481" s="190"/>
      <c r="U481" s="190"/>
      <c r="V481" s="190"/>
      <c r="W481" s="190"/>
      <c r="X481" s="190"/>
      <c r="Y481" s="190"/>
      <c r="Z481" s="190"/>
      <c r="AA481" s="190"/>
      <c r="AB481" s="190"/>
      <c r="AC481" s="190"/>
      <c r="AD481" s="190"/>
      <c r="AE481" s="190"/>
      <c r="AF481" s="190"/>
      <c r="AG481" s="190"/>
      <c r="AH481" s="190"/>
      <c r="AI481" s="190"/>
      <c r="AJ481" s="190"/>
    </row>
    <row r="493" spans="1:36" x14ac:dyDescent="0.2">
      <c r="R493" s="192"/>
    </row>
    <row r="494" spans="1:36" s="192" customFormat="1" x14ac:dyDescent="0.2">
      <c r="A494" s="190"/>
      <c r="B494" s="190"/>
      <c r="C494" s="190"/>
      <c r="D494" s="190"/>
      <c r="E494" s="190"/>
      <c r="F494" s="194"/>
      <c r="G494" s="190"/>
      <c r="H494" s="190"/>
      <c r="I494" s="194"/>
      <c r="J494" s="194"/>
      <c r="K494" s="194"/>
      <c r="L494" s="194"/>
      <c r="M494" s="194"/>
      <c r="N494" s="194"/>
      <c r="O494" s="194"/>
      <c r="P494" s="190"/>
      <c r="Q494" s="190"/>
      <c r="R494" s="190"/>
      <c r="S494" s="190"/>
      <c r="T494" s="190"/>
      <c r="U494" s="190"/>
      <c r="V494" s="190"/>
      <c r="W494" s="190"/>
      <c r="X494" s="190"/>
      <c r="Y494" s="190"/>
      <c r="Z494" s="190"/>
      <c r="AA494" s="190"/>
      <c r="AB494" s="190"/>
      <c r="AC494" s="190"/>
      <c r="AD494" s="190"/>
      <c r="AE494" s="190"/>
      <c r="AF494" s="190"/>
      <c r="AG494" s="190"/>
      <c r="AH494" s="190"/>
      <c r="AI494" s="190"/>
      <c r="AJ494" s="190"/>
    </row>
    <row r="498" spans="1:36" x14ac:dyDescent="0.2">
      <c r="R498" s="192"/>
    </row>
    <row r="500" spans="1:36" s="192" customFormat="1" x14ac:dyDescent="0.2">
      <c r="A500" s="190"/>
      <c r="B500" s="190"/>
      <c r="C500" s="190"/>
      <c r="D500" s="190"/>
      <c r="E500" s="190"/>
      <c r="F500" s="194"/>
      <c r="G500" s="190"/>
      <c r="H500" s="190"/>
      <c r="I500" s="194"/>
      <c r="J500" s="194"/>
      <c r="K500" s="194"/>
      <c r="L500" s="194"/>
      <c r="M500" s="194"/>
      <c r="N500" s="194"/>
      <c r="O500" s="194"/>
      <c r="P500" s="190"/>
      <c r="Q500" s="190"/>
      <c r="R500" s="190"/>
      <c r="S500" s="190"/>
      <c r="T500" s="190"/>
      <c r="U500" s="190"/>
      <c r="V500" s="190"/>
      <c r="W500" s="190"/>
      <c r="X500" s="190"/>
      <c r="Y500" s="190"/>
      <c r="Z500" s="190"/>
      <c r="AA500" s="190"/>
      <c r="AB500" s="190"/>
      <c r="AC500" s="190"/>
      <c r="AD500" s="190"/>
      <c r="AE500" s="190"/>
      <c r="AF500" s="190"/>
      <c r="AG500" s="190"/>
      <c r="AH500" s="190"/>
      <c r="AI500" s="190"/>
      <c r="AJ500" s="190"/>
    </row>
    <row r="503" spans="1:36" x14ac:dyDescent="0.2">
      <c r="R503" s="192"/>
    </row>
    <row r="506" spans="1:36" s="192" customFormat="1" x14ac:dyDescent="0.2">
      <c r="A506" s="190"/>
      <c r="B506" s="190"/>
      <c r="C506" s="190"/>
      <c r="D506" s="190"/>
      <c r="E506" s="190"/>
      <c r="F506" s="194"/>
      <c r="G506" s="190"/>
      <c r="H506" s="190"/>
      <c r="I506" s="194"/>
      <c r="J506" s="194"/>
      <c r="K506" s="194"/>
      <c r="L506" s="194"/>
      <c r="M506" s="194"/>
      <c r="N506" s="194"/>
      <c r="O506" s="194"/>
      <c r="P506" s="190"/>
      <c r="Q506" s="190"/>
      <c r="R506" s="190"/>
      <c r="S506" s="190"/>
      <c r="T506" s="190"/>
      <c r="U506" s="190"/>
      <c r="V506" s="190"/>
      <c r="W506" s="190"/>
      <c r="X506" s="190"/>
      <c r="Y506" s="190"/>
      <c r="Z506" s="190"/>
      <c r="AA506" s="190"/>
      <c r="AB506" s="190"/>
      <c r="AC506" s="190"/>
      <c r="AD506" s="190"/>
      <c r="AE506" s="190"/>
      <c r="AF506" s="190"/>
      <c r="AG506" s="190"/>
      <c r="AH506" s="190"/>
      <c r="AI506" s="190"/>
      <c r="AJ506" s="190"/>
    </row>
    <row r="508" spans="1:36" x14ac:dyDescent="0.2">
      <c r="R508" s="192"/>
    </row>
    <row r="512" spans="1:36" s="192" customFormat="1" x14ac:dyDescent="0.2">
      <c r="A512" s="190"/>
      <c r="B512" s="190"/>
      <c r="C512" s="190"/>
      <c r="D512" s="190"/>
      <c r="E512" s="190"/>
      <c r="F512" s="194"/>
      <c r="G512" s="190"/>
      <c r="H512" s="190"/>
      <c r="I512" s="194"/>
      <c r="J512" s="194"/>
      <c r="K512" s="194"/>
      <c r="L512" s="194"/>
      <c r="M512" s="194"/>
      <c r="N512" s="194"/>
      <c r="O512" s="194"/>
      <c r="P512" s="190"/>
      <c r="Q512" s="190"/>
      <c r="R512" s="190"/>
      <c r="S512" s="190"/>
      <c r="T512" s="190"/>
      <c r="U512" s="190"/>
      <c r="V512" s="190"/>
      <c r="W512" s="190"/>
      <c r="X512" s="190"/>
      <c r="Y512" s="190"/>
      <c r="Z512" s="190"/>
      <c r="AA512" s="190"/>
      <c r="AB512" s="190"/>
      <c r="AC512" s="190"/>
      <c r="AD512" s="190"/>
      <c r="AE512" s="190"/>
      <c r="AF512" s="190"/>
      <c r="AG512" s="190"/>
      <c r="AH512" s="190"/>
      <c r="AI512" s="190"/>
      <c r="AJ512" s="190"/>
    </row>
    <row r="513" spans="1:36" x14ac:dyDescent="0.2">
      <c r="R513" s="192"/>
    </row>
    <row r="518" spans="1:36" s="192" customFormat="1" x14ac:dyDescent="0.2">
      <c r="A518" s="190"/>
      <c r="B518" s="190"/>
      <c r="C518" s="190"/>
      <c r="D518" s="190"/>
      <c r="E518" s="190"/>
      <c r="F518" s="194"/>
      <c r="G518" s="190"/>
      <c r="H518" s="190"/>
      <c r="I518" s="194"/>
      <c r="J518" s="194"/>
      <c r="K518" s="194"/>
      <c r="L518" s="194"/>
      <c r="M518" s="194"/>
      <c r="N518" s="194"/>
      <c r="O518" s="194"/>
      <c r="P518" s="190"/>
      <c r="Q518" s="190"/>
      <c r="R518" s="190"/>
      <c r="S518" s="190"/>
      <c r="T518" s="190"/>
      <c r="U518" s="190"/>
      <c r="V518" s="190"/>
      <c r="W518" s="190"/>
      <c r="X518" s="190"/>
      <c r="Y518" s="190"/>
      <c r="Z518" s="190"/>
      <c r="AA518" s="190"/>
      <c r="AB518" s="190"/>
      <c r="AC518" s="190"/>
      <c r="AD518" s="190"/>
      <c r="AE518" s="190"/>
      <c r="AF518" s="190"/>
      <c r="AG518" s="190"/>
      <c r="AH518" s="190"/>
      <c r="AI518" s="190"/>
      <c r="AJ518" s="190"/>
    </row>
    <row r="524" spans="1:36" s="192" customFormat="1" x14ac:dyDescent="0.2">
      <c r="A524" s="190"/>
      <c r="B524" s="190"/>
      <c r="C524" s="190"/>
      <c r="D524" s="190"/>
      <c r="E524" s="190"/>
      <c r="F524" s="194"/>
      <c r="G524" s="190"/>
      <c r="H524" s="190"/>
      <c r="I524" s="194"/>
      <c r="J524" s="194"/>
      <c r="K524" s="194"/>
      <c r="L524" s="194"/>
      <c r="M524" s="194"/>
      <c r="N524" s="194"/>
      <c r="O524" s="194"/>
      <c r="P524" s="190"/>
      <c r="Q524" s="190"/>
      <c r="R524" s="190"/>
      <c r="S524" s="190"/>
      <c r="T524" s="190"/>
      <c r="U524" s="190"/>
      <c r="V524" s="190"/>
      <c r="W524" s="190"/>
      <c r="X524" s="190"/>
      <c r="Y524" s="190"/>
      <c r="Z524" s="190"/>
      <c r="AA524" s="190"/>
      <c r="AB524" s="190"/>
      <c r="AC524" s="190"/>
      <c r="AD524" s="190"/>
      <c r="AE524" s="190"/>
      <c r="AF524" s="190"/>
      <c r="AG524" s="190"/>
      <c r="AH524" s="190"/>
      <c r="AI524" s="190"/>
      <c r="AJ524" s="190"/>
    </row>
    <row r="526" spans="1:36" x14ac:dyDescent="0.2">
      <c r="R526" s="192"/>
    </row>
    <row r="532" spans="18:18" x14ac:dyDescent="0.2">
      <c r="R532" s="192"/>
    </row>
    <row r="538" spans="18:18" x14ac:dyDescent="0.2">
      <c r="R538" s="192"/>
    </row>
    <row r="544" spans="18:18" x14ac:dyDescent="0.2">
      <c r="R544" s="192"/>
    </row>
    <row r="550" spans="18:18" x14ac:dyDescent="0.2">
      <c r="R550" s="192"/>
    </row>
    <row r="556" spans="18:18" x14ac:dyDescent="0.2">
      <c r="R556" s="192"/>
    </row>
    <row r="569" spans="18:18" x14ac:dyDescent="0.2">
      <c r="R569" s="192"/>
    </row>
    <row r="575" spans="18:18" x14ac:dyDescent="0.2">
      <c r="R575" s="192"/>
    </row>
    <row r="581" spans="18:18" x14ac:dyDescent="0.2">
      <c r="R581" s="192"/>
    </row>
    <row r="587" spans="18:18" x14ac:dyDescent="0.2">
      <c r="R587" s="192"/>
    </row>
    <row r="593" spans="18:18" x14ac:dyDescent="0.2">
      <c r="R593" s="192"/>
    </row>
    <row r="599" spans="18:18" x14ac:dyDescent="0.2">
      <c r="R599" s="192"/>
    </row>
  </sheetData>
  <sheetProtection algorithmName="SHA-512" hashValue="e9vnLllju4wBcmK3kD+D7fJm0rKvh3T1lc8OE7S9ET57Kls9ZyRcb920lvDNiz1yFrRPy5SGik/3i3AqjsHZyg==" saltValue="48tTZPq9PiIn4wq0gtj0kA==" spinCount="100000" sheet="1" objects="1" scenarios="1"/>
  <phoneticPr fontId="0" type="noConversion"/>
  <printOptions headings="1" gridLines="1"/>
  <pageMargins left="0.74803149606299213" right="0.74803149606299213" top="0.98425196850393704" bottom="0.98425196850393704" header="0.51181102362204722" footer="0.51181102362204722"/>
  <pageSetup paperSize="9" scale="51" orientation="portrait" r:id="rId1"/>
  <headerFooter alignWithMargins="0">
    <oddHeader>&amp;L&amp;"Arial,Vet"&amp;9&amp;F&amp;R&amp;"Arial,Vet"&amp;9&amp;A</oddHeader>
    <oddFooter>&amp;L&amp;"Arial,Vet"&amp;9be.keizer@wxs.nl&amp;C&amp;"Arial,Vet"&amp;9pagina &amp;P&amp;R&amp;"Arial,Vet"&amp;9&amp;D</oddFooter>
  </headerFooter>
  <rowBreaks count="6" manualBreakCount="6">
    <brk id="91" min="1" max="16" man="1"/>
    <brk id="163" min="16" max="28" man="1"/>
    <brk id="166" min="1" max="19" man="1"/>
    <brk id="241" min="1" max="13" man="1"/>
    <brk id="342" min="1" max="12" man="1"/>
    <brk id="420" min="1" max="12"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L218"/>
  <sheetViews>
    <sheetView zoomScale="85" zoomScaleNormal="85" workbookViewId="0">
      <selection activeCell="B2" sqref="B2"/>
    </sheetView>
  </sheetViews>
  <sheetFormatPr defaultRowHeight="12.75" x14ac:dyDescent="0.2"/>
  <cols>
    <col min="1" max="1" width="3.7109375" style="109" customWidth="1"/>
    <col min="2" max="3" width="2.7109375" style="109" customWidth="1"/>
    <col min="4" max="4" width="4.5703125" style="110" customWidth="1"/>
    <col min="5" max="5" width="25.7109375" style="110" customWidth="1"/>
    <col min="6" max="6" width="8" style="111" customWidth="1"/>
    <col min="7" max="12" width="8.7109375" style="112" customWidth="1"/>
    <col min="13" max="13" width="1.7109375" style="112" customWidth="1"/>
    <col min="14" max="16" width="12.7109375" style="109" customWidth="1"/>
    <col min="17" max="17" width="12.85546875" style="112" customWidth="1"/>
    <col min="18" max="18" width="12.7109375" style="109" customWidth="1"/>
    <col min="19" max="19" width="1.42578125" style="109" customWidth="1"/>
    <col min="20" max="22" width="12.7109375" style="109" customWidth="1"/>
    <col min="23" max="23" width="12.85546875" style="112" customWidth="1"/>
    <col min="24" max="24" width="13" style="112" customWidth="1"/>
    <col min="25" max="25" width="1.140625" style="109" customWidth="1"/>
    <col min="26" max="28" width="12.7109375" style="109" customWidth="1"/>
    <col min="29" max="29" width="12.85546875" style="112" customWidth="1"/>
    <col min="30" max="30" width="13.42578125" style="112" customWidth="1"/>
    <col min="31" max="31" width="1.140625" style="109" customWidth="1"/>
    <col min="32" max="36" width="12.7109375" style="109" customWidth="1"/>
    <col min="37" max="38" width="2.5703125" style="109" customWidth="1"/>
    <col min="39" max="16384" width="9.140625" style="109"/>
  </cols>
  <sheetData>
    <row r="2" spans="2:38" x14ac:dyDescent="0.2">
      <c r="B2" s="71"/>
      <c r="C2" s="72"/>
      <c r="D2" s="126"/>
      <c r="E2" s="126"/>
      <c r="F2" s="127"/>
      <c r="G2" s="73"/>
      <c r="H2" s="73"/>
      <c r="I2" s="73"/>
      <c r="J2" s="73"/>
      <c r="K2" s="73"/>
      <c r="L2" s="948"/>
      <c r="M2" s="73"/>
      <c r="N2" s="72"/>
      <c r="O2" s="72"/>
      <c r="P2" s="72"/>
      <c r="Q2" s="73"/>
      <c r="R2" s="128"/>
      <c r="S2" s="72"/>
      <c r="T2" s="72"/>
      <c r="U2" s="72"/>
      <c r="V2" s="72"/>
      <c r="W2" s="73"/>
      <c r="X2" s="73"/>
      <c r="Y2" s="72"/>
      <c r="Z2" s="72"/>
      <c r="AA2" s="72"/>
      <c r="AB2" s="72"/>
      <c r="AC2" s="73"/>
      <c r="AD2" s="73"/>
      <c r="AE2" s="72"/>
      <c r="AF2" s="72"/>
      <c r="AG2" s="72"/>
      <c r="AH2" s="72"/>
      <c r="AI2" s="72"/>
      <c r="AJ2" s="72"/>
      <c r="AK2" s="72"/>
      <c r="AL2" s="74"/>
    </row>
    <row r="3" spans="2:38" x14ac:dyDescent="0.2">
      <c r="B3" s="75"/>
      <c r="C3" s="76"/>
      <c r="D3" s="120"/>
      <c r="E3" s="120"/>
      <c r="F3" s="121"/>
      <c r="G3" s="69"/>
      <c r="H3" s="69"/>
      <c r="I3" s="69"/>
      <c r="J3" s="69"/>
      <c r="K3" s="69"/>
      <c r="L3" s="69"/>
      <c r="M3" s="69"/>
      <c r="N3" s="76"/>
      <c r="O3" s="76"/>
      <c r="P3" s="76"/>
      <c r="Q3" s="69"/>
      <c r="R3" s="56"/>
      <c r="S3" s="76"/>
      <c r="T3" s="76"/>
      <c r="U3" s="76"/>
      <c r="V3" s="76"/>
      <c r="W3" s="69"/>
      <c r="X3" s="69"/>
      <c r="Y3" s="76"/>
      <c r="Z3" s="76"/>
      <c r="AA3" s="76"/>
      <c r="AB3" s="76"/>
      <c r="AC3" s="69"/>
      <c r="AD3" s="69"/>
      <c r="AE3" s="76"/>
      <c r="AF3" s="76"/>
      <c r="AG3" s="76"/>
      <c r="AH3" s="76"/>
      <c r="AI3" s="76"/>
      <c r="AJ3" s="76"/>
      <c r="AK3" s="76"/>
      <c r="AL3" s="816"/>
    </row>
    <row r="4" spans="2:38" s="10" customFormat="1" ht="18.75" x14ac:dyDescent="0.3">
      <c r="B4" s="129"/>
      <c r="C4" s="54" t="s">
        <v>372</v>
      </c>
      <c r="D4" s="87"/>
      <c r="E4" s="57"/>
      <c r="F4" s="122"/>
      <c r="G4" s="86"/>
      <c r="H4" s="86"/>
      <c r="I4" s="86"/>
      <c r="J4" s="86"/>
      <c r="K4" s="86"/>
      <c r="L4" s="86"/>
      <c r="M4" s="86"/>
      <c r="N4" s="57"/>
      <c r="O4" s="57"/>
      <c r="P4" s="57"/>
      <c r="Q4" s="86"/>
      <c r="R4" s="57"/>
      <c r="S4" s="57"/>
      <c r="T4" s="57"/>
      <c r="U4" s="57"/>
      <c r="V4" s="57"/>
      <c r="W4" s="86"/>
      <c r="X4" s="86"/>
      <c r="Y4" s="57"/>
      <c r="Z4" s="57"/>
      <c r="AA4" s="57"/>
      <c r="AB4" s="57"/>
      <c r="AC4" s="86"/>
      <c r="AD4" s="86"/>
      <c r="AE4" s="57"/>
      <c r="AF4" s="57"/>
      <c r="AG4" s="57"/>
      <c r="AH4" s="57"/>
      <c r="AI4" s="57"/>
      <c r="AJ4" s="57"/>
      <c r="AK4" s="57"/>
      <c r="AL4" s="1477"/>
    </row>
    <row r="5" spans="2:38" s="113" customFormat="1" x14ac:dyDescent="0.2">
      <c r="B5" s="79"/>
      <c r="C5" s="63" t="s">
        <v>268</v>
      </c>
      <c r="D5" s="123"/>
      <c r="E5" s="56"/>
      <c r="F5" s="124"/>
      <c r="G5" s="125"/>
      <c r="H5" s="125"/>
      <c r="I5" s="125"/>
      <c r="J5" s="125"/>
      <c r="K5" s="125"/>
      <c r="L5" s="125"/>
      <c r="M5" s="125"/>
      <c r="N5" s="56"/>
      <c r="O5" s="56"/>
      <c r="P5" s="56"/>
      <c r="Q5" s="125"/>
      <c r="R5" s="56"/>
      <c r="S5" s="56"/>
      <c r="T5" s="56"/>
      <c r="U5" s="56"/>
      <c r="V5" s="56"/>
      <c r="W5" s="125"/>
      <c r="X5" s="125"/>
      <c r="Y5" s="56"/>
      <c r="Z5" s="56"/>
      <c r="AA5" s="56"/>
      <c r="AB5" s="56"/>
      <c r="AC5" s="125"/>
      <c r="AD5" s="125"/>
      <c r="AE5" s="56"/>
      <c r="AF5" s="56"/>
      <c r="AG5" s="56"/>
      <c r="AH5" s="56"/>
      <c r="AI5" s="56"/>
      <c r="AJ5" s="56"/>
      <c r="AK5" s="56"/>
      <c r="AL5" s="1478"/>
    </row>
    <row r="6" spans="2:38" s="113" customFormat="1" x14ac:dyDescent="0.2">
      <c r="B6" s="79"/>
      <c r="C6" s="123"/>
      <c r="D6" s="123"/>
      <c r="E6" s="56"/>
      <c r="F6" s="124"/>
      <c r="G6" s="125"/>
      <c r="H6" s="125"/>
      <c r="I6" s="125"/>
      <c r="J6" s="125"/>
      <c r="K6" s="125"/>
      <c r="L6" s="125"/>
      <c r="M6" s="125"/>
      <c r="N6" s="56"/>
      <c r="O6" s="56"/>
      <c r="P6" s="56"/>
      <c r="Q6" s="125"/>
      <c r="R6" s="56"/>
      <c r="S6" s="56"/>
      <c r="T6" s="56"/>
      <c r="U6" s="56"/>
      <c r="V6" s="56"/>
      <c r="W6" s="125"/>
      <c r="X6" s="125"/>
      <c r="Y6" s="56"/>
      <c r="Z6" s="56"/>
      <c r="AA6" s="56"/>
      <c r="AB6" s="56"/>
      <c r="AC6" s="125"/>
      <c r="AD6" s="125"/>
      <c r="AE6" s="56"/>
      <c r="AF6" s="56"/>
      <c r="AG6" s="56"/>
      <c r="AH6" s="56"/>
      <c r="AI6" s="56"/>
      <c r="AJ6" s="56"/>
      <c r="AK6" s="56"/>
      <c r="AL6" s="1478"/>
    </row>
    <row r="7" spans="2:38" s="113" customFormat="1" x14ac:dyDescent="0.2">
      <c r="B7" s="79"/>
      <c r="C7" s="123"/>
      <c r="D7" s="123"/>
      <c r="E7" s="56"/>
      <c r="F7" s="124"/>
      <c r="G7" s="125"/>
      <c r="H7" s="125"/>
      <c r="I7" s="125"/>
      <c r="J7" s="125"/>
      <c r="K7" s="125"/>
      <c r="L7" s="125"/>
      <c r="M7" s="125"/>
      <c r="N7" s="56"/>
      <c r="O7" s="56"/>
      <c r="P7" s="56"/>
      <c r="Q7" s="125"/>
      <c r="R7" s="56"/>
      <c r="S7" s="56"/>
      <c r="T7" s="56"/>
      <c r="U7" s="56"/>
      <c r="V7" s="56"/>
      <c r="W7" s="125"/>
      <c r="X7" s="125"/>
      <c r="Y7" s="56"/>
      <c r="Z7" s="56"/>
      <c r="AA7" s="56"/>
      <c r="AB7" s="56"/>
      <c r="AC7" s="125"/>
      <c r="AD7" s="125"/>
      <c r="AE7" s="56"/>
      <c r="AF7" s="56"/>
      <c r="AG7" s="56"/>
      <c r="AH7" s="56"/>
      <c r="AI7" s="56"/>
      <c r="AJ7" s="56"/>
      <c r="AK7" s="56"/>
      <c r="AL7" s="1478"/>
    </row>
    <row r="8" spans="2:38" x14ac:dyDescent="0.2">
      <c r="B8" s="75"/>
      <c r="C8" s="76"/>
      <c r="D8" s="120"/>
      <c r="E8" s="154" t="s">
        <v>269</v>
      </c>
      <c r="F8" s="155" t="s">
        <v>270</v>
      </c>
      <c r="G8" s="156" t="s">
        <v>583</v>
      </c>
      <c r="H8" s="51"/>
      <c r="I8" s="51"/>
      <c r="J8" s="51"/>
      <c r="K8" s="51"/>
      <c r="L8" s="51"/>
      <c r="M8" s="51"/>
      <c r="N8" s="43"/>
      <c r="O8" s="43"/>
      <c r="P8" s="43"/>
      <c r="Q8" s="43"/>
      <c r="R8" s="43"/>
      <c r="S8" s="51"/>
      <c r="T8" s="43"/>
      <c r="U8" s="43"/>
      <c r="V8" s="43"/>
      <c r="W8" s="43"/>
      <c r="X8" s="43"/>
      <c r="Y8" s="51"/>
      <c r="Z8" s="58" t="s">
        <v>272</v>
      </c>
      <c r="AA8" s="43"/>
      <c r="AB8" s="43"/>
      <c r="AC8" s="43"/>
      <c r="AD8" s="43"/>
      <c r="AE8" s="51"/>
      <c r="AF8" s="58" t="s">
        <v>273</v>
      </c>
      <c r="AG8" s="76"/>
      <c r="AH8" s="76"/>
      <c r="AI8" s="76"/>
      <c r="AJ8" s="76"/>
      <c r="AK8" s="76"/>
      <c r="AL8" s="816"/>
    </row>
    <row r="9" spans="2:38" s="11" customFormat="1" x14ac:dyDescent="0.2">
      <c r="B9" s="61"/>
      <c r="C9" s="55"/>
      <c r="D9" s="63"/>
      <c r="E9" s="94"/>
      <c r="F9" s="157"/>
      <c r="G9" s="94" t="s">
        <v>514</v>
      </c>
      <c r="H9" s="93"/>
      <c r="I9" s="93"/>
      <c r="J9" s="93"/>
      <c r="K9" s="93"/>
      <c r="L9" s="93"/>
      <c r="M9" s="93"/>
      <c r="N9" s="153"/>
      <c r="O9" s="153"/>
      <c r="P9" s="153"/>
      <c r="Q9" s="153"/>
      <c r="R9" s="153"/>
      <c r="S9" s="93"/>
      <c r="T9" s="153"/>
      <c r="U9" s="153"/>
      <c r="V9" s="153"/>
      <c r="W9" s="153"/>
      <c r="X9" s="153"/>
      <c r="Y9" s="93"/>
      <c r="Z9" s="153"/>
      <c r="AA9" s="153"/>
      <c r="AB9" s="153"/>
      <c r="AC9" s="153"/>
      <c r="AD9" s="153"/>
      <c r="AE9" s="93"/>
      <c r="AF9" s="153"/>
      <c r="AG9" s="55"/>
      <c r="AH9" s="55"/>
      <c r="AI9" s="55"/>
      <c r="AJ9" s="55"/>
      <c r="AK9" s="55"/>
      <c r="AL9" s="1479"/>
    </row>
    <row r="10" spans="2:38" s="12" customFormat="1" x14ac:dyDescent="0.2">
      <c r="B10" s="130"/>
      <c r="C10" s="53"/>
      <c r="D10" s="52"/>
      <c r="E10" s="60"/>
      <c r="F10" s="155"/>
      <c r="G10" s="965">
        <f>tab!F4</f>
        <v>2019</v>
      </c>
      <c r="H10" s="965">
        <f>tab!G4</f>
        <v>2020</v>
      </c>
      <c r="I10" s="965">
        <f>tab!H4</f>
        <v>2021</v>
      </c>
      <c r="J10" s="965">
        <f>tab!I4</f>
        <v>2022</v>
      </c>
      <c r="K10" s="965">
        <f>tab!J4</f>
        <v>2023</v>
      </c>
      <c r="L10" s="965">
        <f>tab!K4</f>
        <v>2024</v>
      </c>
      <c r="M10" s="60"/>
      <c r="N10" s="1503" t="str">
        <f>tab!G2</f>
        <v>2020/21</v>
      </c>
      <c r="O10" s="1503" t="str">
        <f>tab!H2</f>
        <v>2021/22</v>
      </c>
      <c r="P10" s="1503" t="str">
        <f>tab!I2</f>
        <v>2022/23</v>
      </c>
      <c r="Q10" s="1503" t="str">
        <f>tab!J2</f>
        <v>2023/24</v>
      </c>
      <c r="R10" s="1503" t="str">
        <f>tab!K2</f>
        <v>2024/25</v>
      </c>
      <c r="S10" s="60"/>
      <c r="T10" s="1503" t="str">
        <f>tab!G2</f>
        <v>2020/21</v>
      </c>
      <c r="U10" s="1503" t="str">
        <f>tab!H2</f>
        <v>2021/22</v>
      </c>
      <c r="V10" s="1503" t="str">
        <f>tab!I2</f>
        <v>2022/23</v>
      </c>
      <c r="W10" s="1503" t="str">
        <f>tab!J2</f>
        <v>2023/24</v>
      </c>
      <c r="X10" s="1503" t="str">
        <f>tab!K2</f>
        <v>2024/25</v>
      </c>
      <c r="Y10" s="60">
        <f>tab!D4</f>
        <v>2017</v>
      </c>
      <c r="Z10" s="590">
        <f>tab!G4</f>
        <v>2020</v>
      </c>
      <c r="AA10" s="590">
        <f>tab!H4</f>
        <v>2021</v>
      </c>
      <c r="AB10" s="590">
        <f>tab!I4</f>
        <v>2022</v>
      </c>
      <c r="AC10" s="590">
        <f>tab!J4</f>
        <v>2023</v>
      </c>
      <c r="AD10" s="590">
        <f>tab!K4</f>
        <v>2024</v>
      </c>
      <c r="AE10" s="590">
        <f>tab!L4</f>
        <v>2025</v>
      </c>
      <c r="AF10" s="590">
        <f>tab!G4</f>
        <v>2020</v>
      </c>
      <c r="AG10" s="590">
        <f>tab!H4</f>
        <v>2021</v>
      </c>
      <c r="AH10" s="590">
        <f>tab!I4</f>
        <v>2022</v>
      </c>
      <c r="AI10" s="590">
        <f>tab!J4</f>
        <v>2023</v>
      </c>
      <c r="AJ10" s="590">
        <f>tab!K4</f>
        <v>2024</v>
      </c>
      <c r="AK10" s="53"/>
      <c r="AL10" s="1480"/>
    </row>
    <row r="11" spans="2:38" s="12" customFormat="1" x14ac:dyDescent="0.2">
      <c r="B11" s="130"/>
      <c r="C11" s="53"/>
      <c r="D11" s="52"/>
      <c r="E11" s="60"/>
      <c r="F11" s="155"/>
      <c r="G11" s="44"/>
      <c r="H11" s="44"/>
      <c r="I11" s="44"/>
      <c r="J11" s="44"/>
      <c r="K11" s="44"/>
      <c r="L11" s="44"/>
      <c r="M11" s="60"/>
      <c r="N11" s="44"/>
      <c r="O11" s="44"/>
      <c r="P11" s="44"/>
      <c r="Q11" s="44"/>
      <c r="R11" s="44"/>
      <c r="S11" s="60"/>
      <c r="T11" s="44"/>
      <c r="U11" s="44"/>
      <c r="V11" s="44"/>
      <c r="W11" s="44"/>
      <c r="X11" s="44"/>
      <c r="Y11" s="60"/>
      <c r="Z11" s="60"/>
      <c r="AA11" s="60"/>
      <c r="AB11" s="60"/>
      <c r="AC11" s="60"/>
      <c r="AD11" s="60"/>
      <c r="AE11" s="60"/>
      <c r="AF11" s="60"/>
      <c r="AG11" s="60"/>
      <c r="AH11" s="60"/>
      <c r="AI11" s="60"/>
      <c r="AJ11" s="60"/>
      <c r="AK11" s="53"/>
      <c r="AL11" s="1480"/>
    </row>
    <row r="12" spans="2:38" s="12" customFormat="1" x14ac:dyDescent="0.2">
      <c r="B12" s="130"/>
      <c r="C12" s="606" t="s">
        <v>373</v>
      </c>
      <c r="D12" s="607"/>
      <c r="E12" s="608"/>
      <c r="F12" s="609"/>
      <c r="G12" s="610">
        <f t="shared" ref="G12:K12" si="0">+G141</f>
        <v>0</v>
      </c>
      <c r="H12" s="610">
        <f t="shared" si="0"/>
        <v>0</v>
      </c>
      <c r="I12" s="610">
        <f t="shared" si="0"/>
        <v>0</v>
      </c>
      <c r="J12" s="610">
        <f t="shared" si="0"/>
        <v>0</v>
      </c>
      <c r="K12" s="610">
        <f t="shared" si="0"/>
        <v>0</v>
      </c>
      <c r="L12" s="610">
        <f>+L141</f>
        <v>0</v>
      </c>
      <c r="M12" s="611"/>
      <c r="N12" s="612">
        <f t="shared" ref="N12:R12" si="1">+N141</f>
        <v>0</v>
      </c>
      <c r="O12" s="612">
        <f t="shared" si="1"/>
        <v>0</v>
      </c>
      <c r="P12" s="612">
        <f t="shared" si="1"/>
        <v>0</v>
      </c>
      <c r="Q12" s="612">
        <f t="shared" si="1"/>
        <v>0</v>
      </c>
      <c r="R12" s="612">
        <f t="shared" si="1"/>
        <v>0</v>
      </c>
      <c r="S12" s="611"/>
      <c r="T12" s="612">
        <f t="shared" ref="T12:X12" si="2">+T141</f>
        <v>0</v>
      </c>
      <c r="U12" s="612">
        <f t="shared" si="2"/>
        <v>0</v>
      </c>
      <c r="V12" s="612">
        <f t="shared" si="2"/>
        <v>0</v>
      </c>
      <c r="W12" s="612">
        <f t="shared" si="2"/>
        <v>0</v>
      </c>
      <c r="X12" s="612">
        <f t="shared" si="2"/>
        <v>0</v>
      </c>
      <c r="Y12" s="611"/>
      <c r="Z12" s="612">
        <f t="shared" ref="Z12:AD12" si="3">+Z141</f>
        <v>0</v>
      </c>
      <c r="AA12" s="612">
        <f t="shared" si="3"/>
        <v>0</v>
      </c>
      <c r="AB12" s="612">
        <f t="shared" si="3"/>
        <v>0</v>
      </c>
      <c r="AC12" s="612">
        <f t="shared" si="3"/>
        <v>0</v>
      </c>
      <c r="AD12" s="612">
        <f t="shared" si="3"/>
        <v>0</v>
      </c>
      <c r="AE12" s="611"/>
      <c r="AF12" s="612">
        <f t="shared" ref="AF12:AJ12" si="4">+AF141</f>
        <v>0</v>
      </c>
      <c r="AG12" s="612">
        <f t="shared" si="4"/>
        <v>0</v>
      </c>
      <c r="AH12" s="612">
        <f t="shared" si="4"/>
        <v>0</v>
      </c>
      <c r="AI12" s="612">
        <f t="shared" si="4"/>
        <v>0</v>
      </c>
      <c r="AJ12" s="612">
        <f t="shared" si="4"/>
        <v>0</v>
      </c>
      <c r="AK12" s="53"/>
      <c r="AL12" s="1480"/>
    </row>
    <row r="13" spans="2:38" s="112" customFormat="1" x14ac:dyDescent="0.2">
      <c r="B13" s="132"/>
      <c r="C13" s="69"/>
      <c r="D13" s="120"/>
      <c r="E13" s="158"/>
      <c r="F13" s="59"/>
      <c r="G13" s="51"/>
      <c r="H13" s="51"/>
      <c r="I13" s="51"/>
      <c r="J13" s="51"/>
      <c r="K13" s="51"/>
      <c r="L13" s="51"/>
      <c r="M13" s="51"/>
      <c r="N13" s="51"/>
      <c r="O13" s="51"/>
      <c r="P13" s="51"/>
      <c r="Q13" s="51"/>
      <c r="R13" s="51"/>
      <c r="S13" s="51"/>
      <c r="T13" s="51"/>
      <c r="U13" s="51"/>
      <c r="V13" s="51"/>
      <c r="W13" s="51"/>
      <c r="X13" s="51"/>
      <c r="Y13" s="51"/>
      <c r="Z13" s="159"/>
      <c r="AA13" s="93"/>
      <c r="AB13" s="93"/>
      <c r="AC13" s="93"/>
      <c r="AD13" s="93"/>
      <c r="AE13" s="93"/>
      <c r="AF13" s="159"/>
      <c r="AG13" s="69"/>
      <c r="AH13" s="69"/>
      <c r="AI13" s="69"/>
      <c r="AJ13" s="69"/>
      <c r="AK13" s="69"/>
      <c r="AL13" s="1481"/>
    </row>
    <row r="14" spans="2:38" s="112" customFormat="1" x14ac:dyDescent="0.2">
      <c r="B14" s="132"/>
      <c r="C14" s="146"/>
      <c r="D14" s="147"/>
      <c r="E14" s="147" t="s">
        <v>374</v>
      </c>
      <c r="F14" s="14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92"/>
      <c r="AL14" s="1481"/>
    </row>
    <row r="15" spans="2:38" s="112" customFormat="1" x14ac:dyDescent="0.2">
      <c r="B15" s="132"/>
      <c r="C15" s="149"/>
      <c r="D15" s="49">
        <v>1</v>
      </c>
      <c r="E15" s="978" t="str">
        <f>+'Li O school'!E15</f>
        <v>school 1</v>
      </c>
      <c r="F15" s="978" t="str">
        <f>+'Li O school'!F15</f>
        <v>11AA</v>
      </c>
      <c r="G15" s="833">
        <f>'Li O school'!I15</f>
        <v>0</v>
      </c>
      <c r="H15" s="833">
        <f>'Li O school'!J15</f>
        <v>0</v>
      </c>
      <c r="I15" s="833">
        <f>'Li O school'!K15</f>
        <v>0</v>
      </c>
      <c r="J15" s="833">
        <f>'Li O school'!L15</f>
        <v>0</v>
      </c>
      <c r="K15" s="833">
        <f>'Li O school'!M15</f>
        <v>0</v>
      </c>
      <c r="L15" s="833">
        <f>'Li O school'!N15</f>
        <v>0</v>
      </c>
      <c r="M15" s="70"/>
      <c r="N15" s="67">
        <f>ROUND(G15*tab!F$26,2)</f>
        <v>0</v>
      </c>
      <c r="O15" s="67">
        <f>ROUND(H15*tab!G$26,2)</f>
        <v>0</v>
      </c>
      <c r="P15" s="67">
        <f>ROUND(I15*tab!H$26,2)</f>
        <v>0</v>
      </c>
      <c r="Q15" s="67">
        <f>ROUND(J15*tab!I$26,2)</f>
        <v>0</v>
      </c>
      <c r="R15" s="67">
        <f>ROUND(K15*tab!J$26,2)</f>
        <v>0</v>
      </c>
      <c r="S15" s="70"/>
      <c r="T15" s="119">
        <v>0</v>
      </c>
      <c r="U15" s="119">
        <f t="shared" ref="U15:V34" si="5">T15</f>
        <v>0</v>
      </c>
      <c r="V15" s="119">
        <f t="shared" si="5"/>
        <v>0</v>
      </c>
      <c r="W15" s="119">
        <f t="shared" ref="W15:W78" si="6">V15</f>
        <v>0</v>
      </c>
      <c r="X15" s="119">
        <f t="shared" ref="X15:X78" si="7">W15</f>
        <v>0</v>
      </c>
      <c r="Y15" s="70"/>
      <c r="Z15" s="67">
        <f>+G15*tab!F$30</f>
        <v>0</v>
      </c>
      <c r="AA15" s="67">
        <f>+H15*tab!G$30</f>
        <v>0</v>
      </c>
      <c r="AB15" s="67">
        <f>+I15*tab!H$30</f>
        <v>0</v>
      </c>
      <c r="AC15" s="67">
        <f>+J15*tab!I$30</f>
        <v>0</v>
      </c>
      <c r="AD15" s="67">
        <f>+K15*tab!J$30</f>
        <v>0</v>
      </c>
      <c r="AE15" s="70"/>
      <c r="AF15" s="562">
        <v>0</v>
      </c>
      <c r="AG15" s="119">
        <f t="shared" ref="AG15:AJ18" si="8">AF15</f>
        <v>0</v>
      </c>
      <c r="AH15" s="119">
        <f t="shared" si="8"/>
        <v>0</v>
      </c>
      <c r="AI15" s="119">
        <f t="shared" si="8"/>
        <v>0</v>
      </c>
      <c r="AJ15" s="119">
        <f t="shared" si="8"/>
        <v>0</v>
      </c>
      <c r="AK15" s="792"/>
      <c r="AL15" s="1481"/>
    </row>
    <row r="16" spans="2:38" s="112" customFormat="1" x14ac:dyDescent="0.2">
      <c r="B16" s="132"/>
      <c r="C16" s="149"/>
      <c r="D16" s="49">
        <v>2</v>
      </c>
      <c r="E16" s="978" t="str">
        <f>+'Li O school'!E16</f>
        <v>school 2</v>
      </c>
      <c r="F16" s="978" t="str">
        <f>+'Li O school'!F16</f>
        <v>11AA</v>
      </c>
      <c r="G16" s="833">
        <f>'Li O school'!I16</f>
        <v>0</v>
      </c>
      <c r="H16" s="833">
        <f>'Li O school'!J16</f>
        <v>0</v>
      </c>
      <c r="I16" s="833">
        <f>'Li O school'!K16</f>
        <v>0</v>
      </c>
      <c r="J16" s="833">
        <f>'Li O school'!L16</f>
        <v>0</v>
      </c>
      <c r="K16" s="833">
        <f>'Li O school'!M16</f>
        <v>0</v>
      </c>
      <c r="L16" s="833">
        <f>'Li O school'!N16</f>
        <v>0</v>
      </c>
      <c r="M16" s="70"/>
      <c r="N16" s="67">
        <f>ROUND(G16*tab!F$26,2)</f>
        <v>0</v>
      </c>
      <c r="O16" s="67">
        <f>ROUND(H16*tab!G$26,2)</f>
        <v>0</v>
      </c>
      <c r="P16" s="67">
        <f>ROUND(I16*tab!H$26,2)</f>
        <v>0</v>
      </c>
      <c r="Q16" s="67">
        <f>ROUND(J16*tab!I$26,2)</f>
        <v>0</v>
      </c>
      <c r="R16" s="67">
        <f>ROUND(K16*tab!J$26,2)</f>
        <v>0</v>
      </c>
      <c r="S16" s="70"/>
      <c r="T16" s="119">
        <v>0</v>
      </c>
      <c r="U16" s="119">
        <f t="shared" si="5"/>
        <v>0</v>
      </c>
      <c r="V16" s="119">
        <f t="shared" si="5"/>
        <v>0</v>
      </c>
      <c r="W16" s="119">
        <f t="shared" si="6"/>
        <v>0</v>
      </c>
      <c r="X16" s="119">
        <f t="shared" si="7"/>
        <v>0</v>
      </c>
      <c r="Y16" s="70"/>
      <c r="Z16" s="67">
        <f>+G16*tab!F$30</f>
        <v>0</v>
      </c>
      <c r="AA16" s="67">
        <f>+H16*tab!G$30</f>
        <v>0</v>
      </c>
      <c r="AB16" s="67">
        <f>+I16*tab!H$30</f>
        <v>0</v>
      </c>
      <c r="AC16" s="67">
        <f>+J16*tab!I$30</f>
        <v>0</v>
      </c>
      <c r="AD16" s="67">
        <f>+K16*tab!J$30</f>
        <v>0</v>
      </c>
      <c r="AE16" s="70"/>
      <c r="AF16" s="562">
        <v>0</v>
      </c>
      <c r="AG16" s="119">
        <f t="shared" si="8"/>
        <v>0</v>
      </c>
      <c r="AH16" s="119">
        <f t="shared" si="8"/>
        <v>0</v>
      </c>
      <c r="AI16" s="119">
        <f t="shared" si="8"/>
        <v>0</v>
      </c>
      <c r="AJ16" s="119">
        <f t="shared" si="8"/>
        <v>0</v>
      </c>
      <c r="AK16" s="792"/>
      <c r="AL16" s="1481"/>
    </row>
    <row r="17" spans="2:38" s="112" customFormat="1" x14ac:dyDescent="0.2">
      <c r="B17" s="132"/>
      <c r="C17" s="149"/>
      <c r="D17" s="49">
        <v>3</v>
      </c>
      <c r="E17" s="978" t="str">
        <f>+'Li O school'!E17</f>
        <v>school 3</v>
      </c>
      <c r="F17" s="978" t="str">
        <f>+'Li O school'!F17</f>
        <v>11AA</v>
      </c>
      <c r="G17" s="833">
        <f>'Li O school'!I17</f>
        <v>0</v>
      </c>
      <c r="H17" s="833">
        <f>'Li O school'!J17</f>
        <v>0</v>
      </c>
      <c r="I17" s="833">
        <f>'Li O school'!K17</f>
        <v>0</v>
      </c>
      <c r="J17" s="833">
        <f>'Li O school'!L17</f>
        <v>0</v>
      </c>
      <c r="K17" s="833">
        <f>'Li O school'!M17</f>
        <v>0</v>
      </c>
      <c r="L17" s="833">
        <f>'Li O school'!N17</f>
        <v>0</v>
      </c>
      <c r="M17" s="70"/>
      <c r="N17" s="67">
        <f>ROUND(G17*tab!F$26,2)</f>
        <v>0</v>
      </c>
      <c r="O17" s="67">
        <f>ROUND(H17*tab!G$26,2)</f>
        <v>0</v>
      </c>
      <c r="P17" s="67">
        <f>ROUND(I17*tab!H$26,2)</f>
        <v>0</v>
      </c>
      <c r="Q17" s="67">
        <f>ROUND(J17*tab!I$26,2)</f>
        <v>0</v>
      </c>
      <c r="R17" s="67">
        <f>ROUND(K17*tab!J$26,2)</f>
        <v>0</v>
      </c>
      <c r="S17" s="70"/>
      <c r="T17" s="119">
        <v>0</v>
      </c>
      <c r="U17" s="119">
        <f t="shared" si="5"/>
        <v>0</v>
      </c>
      <c r="V17" s="119">
        <f t="shared" si="5"/>
        <v>0</v>
      </c>
      <c r="W17" s="119">
        <f t="shared" si="6"/>
        <v>0</v>
      </c>
      <c r="X17" s="119">
        <f t="shared" si="7"/>
        <v>0</v>
      </c>
      <c r="Y17" s="70"/>
      <c r="Z17" s="67">
        <f>+G17*tab!F$30</f>
        <v>0</v>
      </c>
      <c r="AA17" s="67">
        <f>+H17*tab!G$30</f>
        <v>0</v>
      </c>
      <c r="AB17" s="67">
        <f>+I17*tab!H$30</f>
        <v>0</v>
      </c>
      <c r="AC17" s="67">
        <f>+J17*tab!I$30</f>
        <v>0</v>
      </c>
      <c r="AD17" s="67">
        <f>+K17*tab!J$30</f>
        <v>0</v>
      </c>
      <c r="AE17" s="70"/>
      <c r="AF17" s="562">
        <v>0</v>
      </c>
      <c r="AG17" s="119">
        <f t="shared" si="8"/>
        <v>0</v>
      </c>
      <c r="AH17" s="119">
        <f t="shared" si="8"/>
        <v>0</v>
      </c>
      <c r="AI17" s="119">
        <f t="shared" si="8"/>
        <v>0</v>
      </c>
      <c r="AJ17" s="119">
        <f t="shared" si="8"/>
        <v>0</v>
      </c>
      <c r="AK17" s="792"/>
      <c r="AL17" s="1481"/>
    </row>
    <row r="18" spans="2:38" s="112" customFormat="1" x14ac:dyDescent="0.2">
      <c r="B18" s="132"/>
      <c r="C18" s="149"/>
      <c r="D18" s="49">
        <v>4</v>
      </c>
      <c r="E18" s="978" t="str">
        <f>+'Li O school'!E18</f>
        <v>school 4</v>
      </c>
      <c r="F18" s="978" t="str">
        <f>+'Li O school'!F18</f>
        <v>11AA</v>
      </c>
      <c r="G18" s="833">
        <f>'Li O school'!I18</f>
        <v>0</v>
      </c>
      <c r="H18" s="833">
        <f>'Li O school'!J18</f>
        <v>0</v>
      </c>
      <c r="I18" s="833">
        <f>'Li O school'!K18</f>
        <v>0</v>
      </c>
      <c r="J18" s="833">
        <f>'Li O school'!L18</f>
        <v>0</v>
      </c>
      <c r="K18" s="833">
        <f>'Li O school'!M18</f>
        <v>0</v>
      </c>
      <c r="L18" s="833">
        <f>'Li O school'!N18</f>
        <v>0</v>
      </c>
      <c r="M18" s="70"/>
      <c r="N18" s="67">
        <f>ROUND(G18*tab!F$26,2)</f>
        <v>0</v>
      </c>
      <c r="O18" s="67">
        <f>ROUND(H18*tab!G$26,2)</f>
        <v>0</v>
      </c>
      <c r="P18" s="67">
        <f>ROUND(I18*tab!H$26,2)</f>
        <v>0</v>
      </c>
      <c r="Q18" s="67">
        <f>ROUND(J18*tab!I$26,2)</f>
        <v>0</v>
      </c>
      <c r="R18" s="67">
        <f>ROUND(K18*tab!J$26,2)</f>
        <v>0</v>
      </c>
      <c r="S18" s="70"/>
      <c r="T18" s="119">
        <v>0</v>
      </c>
      <c r="U18" s="119">
        <f t="shared" si="5"/>
        <v>0</v>
      </c>
      <c r="V18" s="119">
        <f t="shared" si="5"/>
        <v>0</v>
      </c>
      <c r="W18" s="119">
        <f t="shared" si="6"/>
        <v>0</v>
      </c>
      <c r="X18" s="119">
        <f t="shared" si="7"/>
        <v>0</v>
      </c>
      <c r="Y18" s="70"/>
      <c r="Z18" s="67">
        <f>+G18*tab!F$30</f>
        <v>0</v>
      </c>
      <c r="AA18" s="67">
        <f>+H18*tab!G$30</f>
        <v>0</v>
      </c>
      <c r="AB18" s="67">
        <f>+I18*tab!H$30</f>
        <v>0</v>
      </c>
      <c r="AC18" s="67">
        <f>+J18*tab!I$30</f>
        <v>0</v>
      </c>
      <c r="AD18" s="67">
        <f>+K18*tab!J$30</f>
        <v>0</v>
      </c>
      <c r="AE18" s="70"/>
      <c r="AF18" s="562">
        <v>0</v>
      </c>
      <c r="AG18" s="119">
        <f t="shared" si="8"/>
        <v>0</v>
      </c>
      <c r="AH18" s="119">
        <f t="shared" si="8"/>
        <v>0</v>
      </c>
      <c r="AI18" s="119">
        <f t="shared" si="8"/>
        <v>0</v>
      </c>
      <c r="AJ18" s="119">
        <f t="shared" si="8"/>
        <v>0</v>
      </c>
      <c r="AK18" s="792"/>
      <c r="AL18" s="1481"/>
    </row>
    <row r="19" spans="2:38" s="112" customFormat="1" x14ac:dyDescent="0.2">
      <c r="B19" s="132"/>
      <c r="C19" s="149"/>
      <c r="D19" s="49">
        <v>5</v>
      </c>
      <c r="E19" s="978" t="str">
        <f>+'Li O school'!E19</f>
        <v>school 5</v>
      </c>
      <c r="F19" s="978" t="str">
        <f>+'Li O school'!F19</f>
        <v>11AA</v>
      </c>
      <c r="G19" s="833">
        <f>'Li O school'!I19</f>
        <v>0</v>
      </c>
      <c r="H19" s="833">
        <f>'Li O school'!J19</f>
        <v>0</v>
      </c>
      <c r="I19" s="833">
        <f>'Li O school'!K19</f>
        <v>0</v>
      </c>
      <c r="J19" s="833">
        <f>'Li O school'!L19</f>
        <v>0</v>
      </c>
      <c r="K19" s="833">
        <f>'Li O school'!M19</f>
        <v>0</v>
      </c>
      <c r="L19" s="833">
        <f>'Li O school'!N19</f>
        <v>0</v>
      </c>
      <c r="M19" s="70"/>
      <c r="N19" s="67">
        <f>ROUND(G19*tab!F$26,2)</f>
        <v>0</v>
      </c>
      <c r="O19" s="67">
        <f>ROUND(H19*tab!G$26,2)</f>
        <v>0</v>
      </c>
      <c r="P19" s="67">
        <f>ROUND(I19*tab!H$26,2)</f>
        <v>0</v>
      </c>
      <c r="Q19" s="67">
        <f>ROUND(J19*tab!I$26,2)</f>
        <v>0</v>
      </c>
      <c r="R19" s="67">
        <f>ROUND(K19*tab!J$26,2)</f>
        <v>0</v>
      </c>
      <c r="S19" s="70"/>
      <c r="T19" s="119">
        <v>0</v>
      </c>
      <c r="U19" s="119">
        <f t="shared" si="5"/>
        <v>0</v>
      </c>
      <c r="V19" s="119">
        <f t="shared" si="5"/>
        <v>0</v>
      </c>
      <c r="W19" s="119">
        <f t="shared" si="6"/>
        <v>0</v>
      </c>
      <c r="X19" s="119">
        <f t="shared" si="7"/>
        <v>0</v>
      </c>
      <c r="Y19" s="70"/>
      <c r="Z19" s="67">
        <f>+G19*tab!F$30</f>
        <v>0</v>
      </c>
      <c r="AA19" s="67">
        <f>+H19*tab!G$30</f>
        <v>0</v>
      </c>
      <c r="AB19" s="67">
        <f>+I19*tab!H$30</f>
        <v>0</v>
      </c>
      <c r="AC19" s="67">
        <f>+J19*tab!I$30</f>
        <v>0</v>
      </c>
      <c r="AD19" s="67">
        <f>+K19*tab!J$30</f>
        <v>0</v>
      </c>
      <c r="AE19" s="70"/>
      <c r="AF19" s="562">
        <v>0</v>
      </c>
      <c r="AG19" s="119">
        <f t="shared" ref="AG19:AG82" si="9">AF19</f>
        <v>0</v>
      </c>
      <c r="AH19" s="119">
        <f t="shared" ref="AH19:AH82" si="10">AG19</f>
        <v>0</v>
      </c>
      <c r="AI19" s="119">
        <f t="shared" ref="AI19:AI82" si="11">AH19</f>
        <v>0</v>
      </c>
      <c r="AJ19" s="119">
        <f t="shared" ref="AJ19:AJ82" si="12">AI19</f>
        <v>0</v>
      </c>
      <c r="AK19" s="792"/>
      <c r="AL19" s="1481"/>
    </row>
    <row r="20" spans="2:38" s="112" customFormat="1" x14ac:dyDescent="0.2">
      <c r="B20" s="132"/>
      <c r="C20" s="149"/>
      <c r="D20" s="49">
        <v>6</v>
      </c>
      <c r="E20" s="978" t="str">
        <f>+'Li O school'!E20</f>
        <v>school 6</v>
      </c>
      <c r="F20" s="978" t="str">
        <f>+'Li O school'!F20</f>
        <v>11AA</v>
      </c>
      <c r="G20" s="833">
        <f>'Li O school'!I20</f>
        <v>0</v>
      </c>
      <c r="H20" s="833">
        <f>'Li O school'!J20</f>
        <v>0</v>
      </c>
      <c r="I20" s="833">
        <f>'Li O school'!K20</f>
        <v>0</v>
      </c>
      <c r="J20" s="833">
        <f>'Li O school'!L20</f>
        <v>0</v>
      </c>
      <c r="K20" s="833">
        <f>'Li O school'!M20</f>
        <v>0</v>
      </c>
      <c r="L20" s="833">
        <f>'Li O school'!N20</f>
        <v>0</v>
      </c>
      <c r="M20" s="70"/>
      <c r="N20" s="67">
        <f>ROUND(G20*tab!F$26,2)</f>
        <v>0</v>
      </c>
      <c r="O20" s="67">
        <f>ROUND(H20*tab!G$26,2)</f>
        <v>0</v>
      </c>
      <c r="P20" s="67">
        <f>ROUND(I20*tab!H$26,2)</f>
        <v>0</v>
      </c>
      <c r="Q20" s="67">
        <f>ROUND(J20*tab!I$26,2)</f>
        <v>0</v>
      </c>
      <c r="R20" s="67">
        <f>ROUND(K20*tab!J$26,2)</f>
        <v>0</v>
      </c>
      <c r="S20" s="70"/>
      <c r="T20" s="119">
        <v>0</v>
      </c>
      <c r="U20" s="119">
        <f t="shared" si="5"/>
        <v>0</v>
      </c>
      <c r="V20" s="119">
        <f t="shared" si="5"/>
        <v>0</v>
      </c>
      <c r="W20" s="119">
        <f t="shared" si="6"/>
        <v>0</v>
      </c>
      <c r="X20" s="119">
        <f t="shared" si="7"/>
        <v>0</v>
      </c>
      <c r="Y20" s="70"/>
      <c r="Z20" s="67">
        <f>+G20*tab!F$30</f>
        <v>0</v>
      </c>
      <c r="AA20" s="67">
        <f>+H20*tab!G$30</f>
        <v>0</v>
      </c>
      <c r="AB20" s="67">
        <f>+I20*tab!H$30</f>
        <v>0</v>
      </c>
      <c r="AC20" s="67">
        <f>+J20*tab!I$30</f>
        <v>0</v>
      </c>
      <c r="AD20" s="67">
        <f>+K20*tab!J$30</f>
        <v>0</v>
      </c>
      <c r="AE20" s="70"/>
      <c r="AF20" s="562">
        <v>0</v>
      </c>
      <c r="AG20" s="119">
        <f t="shared" si="9"/>
        <v>0</v>
      </c>
      <c r="AH20" s="119">
        <f t="shared" si="10"/>
        <v>0</v>
      </c>
      <c r="AI20" s="119">
        <f t="shared" si="11"/>
        <v>0</v>
      </c>
      <c r="AJ20" s="119">
        <f t="shared" si="12"/>
        <v>0</v>
      </c>
      <c r="AK20" s="792"/>
      <c r="AL20" s="1481"/>
    </row>
    <row r="21" spans="2:38" s="112" customFormat="1" x14ac:dyDescent="0.2">
      <c r="B21" s="132"/>
      <c r="C21" s="149"/>
      <c r="D21" s="49">
        <v>7</v>
      </c>
      <c r="E21" s="978" t="str">
        <f>+'Li O school'!E21</f>
        <v>school 7</v>
      </c>
      <c r="F21" s="978" t="str">
        <f>+'Li O school'!F21</f>
        <v>11AA</v>
      </c>
      <c r="G21" s="833">
        <f>'Li O school'!I21</f>
        <v>0</v>
      </c>
      <c r="H21" s="833">
        <f>'Li O school'!J21</f>
        <v>0</v>
      </c>
      <c r="I21" s="833">
        <f>'Li O school'!K21</f>
        <v>0</v>
      </c>
      <c r="J21" s="833">
        <f>'Li O school'!L21</f>
        <v>0</v>
      </c>
      <c r="K21" s="833">
        <f>'Li O school'!M21</f>
        <v>0</v>
      </c>
      <c r="L21" s="833">
        <f>'Li O school'!N21</f>
        <v>0</v>
      </c>
      <c r="M21" s="70"/>
      <c r="N21" s="67">
        <f>ROUND(G21*tab!F$26,2)</f>
        <v>0</v>
      </c>
      <c r="O21" s="67">
        <f>ROUND(H21*tab!G$26,2)</f>
        <v>0</v>
      </c>
      <c r="P21" s="67">
        <f>ROUND(I21*tab!H$26,2)</f>
        <v>0</v>
      </c>
      <c r="Q21" s="67">
        <f>ROUND(J21*tab!I$26,2)</f>
        <v>0</v>
      </c>
      <c r="R21" s="67">
        <f>ROUND(K21*tab!J$26,2)</f>
        <v>0</v>
      </c>
      <c r="S21" s="70"/>
      <c r="T21" s="119">
        <v>0</v>
      </c>
      <c r="U21" s="119">
        <f t="shared" si="5"/>
        <v>0</v>
      </c>
      <c r="V21" s="119">
        <f t="shared" si="5"/>
        <v>0</v>
      </c>
      <c r="W21" s="119">
        <f t="shared" si="6"/>
        <v>0</v>
      </c>
      <c r="X21" s="119">
        <f t="shared" si="7"/>
        <v>0</v>
      </c>
      <c r="Y21" s="70"/>
      <c r="Z21" s="67">
        <f>+G21*tab!F$30</f>
        <v>0</v>
      </c>
      <c r="AA21" s="67">
        <f>+H21*tab!G$30</f>
        <v>0</v>
      </c>
      <c r="AB21" s="67">
        <f>+I21*tab!H$30</f>
        <v>0</v>
      </c>
      <c r="AC21" s="67">
        <f>+J21*tab!I$30</f>
        <v>0</v>
      </c>
      <c r="AD21" s="67">
        <f>+K21*tab!J$30</f>
        <v>0</v>
      </c>
      <c r="AE21" s="70"/>
      <c r="AF21" s="562">
        <v>0</v>
      </c>
      <c r="AG21" s="119">
        <f t="shared" si="9"/>
        <v>0</v>
      </c>
      <c r="AH21" s="119">
        <f t="shared" si="10"/>
        <v>0</v>
      </c>
      <c r="AI21" s="119">
        <f t="shared" si="11"/>
        <v>0</v>
      </c>
      <c r="AJ21" s="119">
        <f t="shared" si="12"/>
        <v>0</v>
      </c>
      <c r="AK21" s="792"/>
      <c r="AL21" s="1481"/>
    </row>
    <row r="22" spans="2:38" s="112" customFormat="1" x14ac:dyDescent="0.2">
      <c r="B22" s="132"/>
      <c r="C22" s="149"/>
      <c r="D22" s="49">
        <v>8</v>
      </c>
      <c r="E22" s="978" t="str">
        <f>+'Li O school'!E22</f>
        <v>school 8</v>
      </c>
      <c r="F22" s="978" t="str">
        <f>+'Li O school'!F22</f>
        <v>11AA</v>
      </c>
      <c r="G22" s="833">
        <f>'Li O school'!I22</f>
        <v>0</v>
      </c>
      <c r="H22" s="833">
        <f>'Li O school'!J22</f>
        <v>0</v>
      </c>
      <c r="I22" s="833">
        <f>'Li O school'!K22</f>
        <v>0</v>
      </c>
      <c r="J22" s="833">
        <f>'Li O school'!L22</f>
        <v>0</v>
      </c>
      <c r="K22" s="833">
        <f>'Li O school'!M22</f>
        <v>0</v>
      </c>
      <c r="L22" s="833">
        <f>'Li O school'!N22</f>
        <v>0</v>
      </c>
      <c r="M22" s="70"/>
      <c r="N22" s="67">
        <f>ROUND(G22*tab!F$26,2)</f>
        <v>0</v>
      </c>
      <c r="O22" s="67">
        <f>ROUND(H22*tab!G$26,2)</f>
        <v>0</v>
      </c>
      <c r="P22" s="67">
        <f>ROUND(I22*tab!H$26,2)</f>
        <v>0</v>
      </c>
      <c r="Q22" s="67">
        <f>ROUND(J22*tab!I$26,2)</f>
        <v>0</v>
      </c>
      <c r="R22" s="67">
        <f>ROUND(K22*tab!J$26,2)</f>
        <v>0</v>
      </c>
      <c r="S22" s="70"/>
      <c r="T22" s="119">
        <v>0</v>
      </c>
      <c r="U22" s="119">
        <f t="shared" si="5"/>
        <v>0</v>
      </c>
      <c r="V22" s="119">
        <f t="shared" si="5"/>
        <v>0</v>
      </c>
      <c r="W22" s="119">
        <f t="shared" si="6"/>
        <v>0</v>
      </c>
      <c r="X22" s="119">
        <f t="shared" si="7"/>
        <v>0</v>
      </c>
      <c r="Y22" s="70"/>
      <c r="Z22" s="67">
        <f>+G22*tab!F$30</f>
        <v>0</v>
      </c>
      <c r="AA22" s="67">
        <f>+H22*tab!G$30</f>
        <v>0</v>
      </c>
      <c r="AB22" s="67">
        <f>+I22*tab!H$30</f>
        <v>0</v>
      </c>
      <c r="AC22" s="67">
        <f>+J22*tab!I$30</f>
        <v>0</v>
      </c>
      <c r="AD22" s="67">
        <f>+K22*tab!J$30</f>
        <v>0</v>
      </c>
      <c r="AE22" s="70"/>
      <c r="AF22" s="562">
        <v>0</v>
      </c>
      <c r="AG22" s="119">
        <f t="shared" si="9"/>
        <v>0</v>
      </c>
      <c r="AH22" s="119">
        <f t="shared" si="10"/>
        <v>0</v>
      </c>
      <c r="AI22" s="119">
        <f t="shared" si="11"/>
        <v>0</v>
      </c>
      <c r="AJ22" s="119">
        <f t="shared" si="12"/>
        <v>0</v>
      </c>
      <c r="AK22" s="792"/>
      <c r="AL22" s="1481"/>
    </row>
    <row r="23" spans="2:38" s="112" customFormat="1" x14ac:dyDescent="0.2">
      <c r="B23" s="132"/>
      <c r="C23" s="149"/>
      <c r="D23" s="49">
        <v>9</v>
      </c>
      <c r="E23" s="978" t="str">
        <f>+'Li O school'!E23</f>
        <v>school 9</v>
      </c>
      <c r="F23" s="978" t="str">
        <f>+'Li O school'!F23</f>
        <v>11AA</v>
      </c>
      <c r="G23" s="833">
        <f>'Li O school'!I23</f>
        <v>0</v>
      </c>
      <c r="H23" s="833">
        <f>'Li O school'!J23</f>
        <v>0</v>
      </c>
      <c r="I23" s="833">
        <f>'Li O school'!K23</f>
        <v>0</v>
      </c>
      <c r="J23" s="833">
        <f>'Li O school'!L23</f>
        <v>0</v>
      </c>
      <c r="K23" s="833">
        <f>'Li O school'!M23</f>
        <v>0</v>
      </c>
      <c r="L23" s="833">
        <f>'Li O school'!N23</f>
        <v>0</v>
      </c>
      <c r="M23" s="70"/>
      <c r="N23" s="67">
        <f>ROUND(G23*tab!F$26,2)</f>
        <v>0</v>
      </c>
      <c r="O23" s="67">
        <f>ROUND(H23*tab!G$26,2)</f>
        <v>0</v>
      </c>
      <c r="P23" s="67">
        <f>ROUND(I23*tab!H$26,2)</f>
        <v>0</v>
      </c>
      <c r="Q23" s="67">
        <f>ROUND(J23*tab!I$26,2)</f>
        <v>0</v>
      </c>
      <c r="R23" s="67">
        <f>ROUND(K23*tab!J$26,2)</f>
        <v>0</v>
      </c>
      <c r="S23" s="70"/>
      <c r="T23" s="119">
        <v>0</v>
      </c>
      <c r="U23" s="119">
        <f t="shared" si="5"/>
        <v>0</v>
      </c>
      <c r="V23" s="119">
        <f t="shared" si="5"/>
        <v>0</v>
      </c>
      <c r="W23" s="119">
        <f t="shared" si="6"/>
        <v>0</v>
      </c>
      <c r="X23" s="119">
        <f t="shared" si="7"/>
        <v>0</v>
      </c>
      <c r="Y23" s="70"/>
      <c r="Z23" s="67">
        <f>+G23*tab!F$30</f>
        <v>0</v>
      </c>
      <c r="AA23" s="67">
        <f>+H23*tab!G$30</f>
        <v>0</v>
      </c>
      <c r="AB23" s="67">
        <f>+I23*tab!H$30</f>
        <v>0</v>
      </c>
      <c r="AC23" s="67">
        <f>+J23*tab!I$30</f>
        <v>0</v>
      </c>
      <c r="AD23" s="67">
        <f>+K23*tab!J$30</f>
        <v>0</v>
      </c>
      <c r="AE23" s="70"/>
      <c r="AF23" s="562">
        <v>0</v>
      </c>
      <c r="AG23" s="119">
        <f t="shared" si="9"/>
        <v>0</v>
      </c>
      <c r="AH23" s="119">
        <f t="shared" si="10"/>
        <v>0</v>
      </c>
      <c r="AI23" s="119">
        <f t="shared" si="11"/>
        <v>0</v>
      </c>
      <c r="AJ23" s="119">
        <f t="shared" si="12"/>
        <v>0</v>
      </c>
      <c r="AK23" s="792"/>
      <c r="AL23" s="1481"/>
    </row>
    <row r="24" spans="2:38" s="112" customFormat="1" x14ac:dyDescent="0.2">
      <c r="B24" s="132"/>
      <c r="C24" s="149"/>
      <c r="D24" s="49">
        <v>10</v>
      </c>
      <c r="E24" s="978" t="str">
        <f>+'Li O school'!E24</f>
        <v>school 10</v>
      </c>
      <c r="F24" s="978" t="str">
        <f>+'Li O school'!F24</f>
        <v>11AA</v>
      </c>
      <c r="G24" s="833">
        <f>'Li O school'!I24</f>
        <v>0</v>
      </c>
      <c r="H24" s="833">
        <f>'Li O school'!J24</f>
        <v>0</v>
      </c>
      <c r="I24" s="833">
        <f>'Li O school'!K24</f>
        <v>0</v>
      </c>
      <c r="J24" s="833">
        <f>'Li O school'!L24</f>
        <v>0</v>
      </c>
      <c r="K24" s="833">
        <f>'Li O school'!M24</f>
        <v>0</v>
      </c>
      <c r="L24" s="833">
        <f>'Li O school'!N24</f>
        <v>0</v>
      </c>
      <c r="M24" s="70"/>
      <c r="N24" s="67">
        <f>ROUND(G24*tab!F$26,2)</f>
        <v>0</v>
      </c>
      <c r="O24" s="67">
        <f>ROUND(H24*tab!G$26,2)</f>
        <v>0</v>
      </c>
      <c r="P24" s="67">
        <f>ROUND(I24*tab!H$26,2)</f>
        <v>0</v>
      </c>
      <c r="Q24" s="67">
        <f>ROUND(J24*tab!I$26,2)</f>
        <v>0</v>
      </c>
      <c r="R24" s="67">
        <f>ROUND(K24*tab!J$26,2)</f>
        <v>0</v>
      </c>
      <c r="S24" s="70"/>
      <c r="T24" s="119">
        <v>0</v>
      </c>
      <c r="U24" s="119">
        <f t="shared" si="5"/>
        <v>0</v>
      </c>
      <c r="V24" s="119">
        <f t="shared" si="5"/>
        <v>0</v>
      </c>
      <c r="W24" s="119">
        <f t="shared" si="6"/>
        <v>0</v>
      </c>
      <c r="X24" s="119">
        <f t="shared" si="7"/>
        <v>0</v>
      </c>
      <c r="Y24" s="70"/>
      <c r="Z24" s="67">
        <f>+G24*tab!F$30</f>
        <v>0</v>
      </c>
      <c r="AA24" s="67">
        <f>+H24*tab!G$30</f>
        <v>0</v>
      </c>
      <c r="AB24" s="67">
        <f>+I24*tab!H$30</f>
        <v>0</v>
      </c>
      <c r="AC24" s="67">
        <f>+J24*tab!I$30</f>
        <v>0</v>
      </c>
      <c r="AD24" s="67">
        <f>+K24*tab!J$30</f>
        <v>0</v>
      </c>
      <c r="AE24" s="70"/>
      <c r="AF24" s="562">
        <v>0</v>
      </c>
      <c r="AG24" s="119">
        <f t="shared" si="9"/>
        <v>0</v>
      </c>
      <c r="AH24" s="119">
        <f t="shared" si="10"/>
        <v>0</v>
      </c>
      <c r="AI24" s="119">
        <f t="shared" si="11"/>
        <v>0</v>
      </c>
      <c r="AJ24" s="119">
        <f t="shared" si="12"/>
        <v>0</v>
      </c>
      <c r="AK24" s="792"/>
      <c r="AL24" s="1481"/>
    </row>
    <row r="25" spans="2:38" s="112" customFormat="1" x14ac:dyDescent="0.2">
      <c r="B25" s="132"/>
      <c r="C25" s="149"/>
      <c r="D25" s="49">
        <v>11</v>
      </c>
      <c r="E25" s="978" t="str">
        <f>+'Li O school'!E25</f>
        <v>school 11</v>
      </c>
      <c r="F25" s="978" t="str">
        <f>+'Li O school'!F25</f>
        <v>11AA</v>
      </c>
      <c r="G25" s="833">
        <f>'Li O school'!I25</f>
        <v>0</v>
      </c>
      <c r="H25" s="833">
        <f>'Li O school'!J25</f>
        <v>0</v>
      </c>
      <c r="I25" s="833">
        <f>'Li O school'!K25</f>
        <v>0</v>
      </c>
      <c r="J25" s="833">
        <f>'Li O school'!L25</f>
        <v>0</v>
      </c>
      <c r="K25" s="833">
        <f>'Li O school'!M25</f>
        <v>0</v>
      </c>
      <c r="L25" s="833">
        <f>'Li O school'!N25</f>
        <v>0</v>
      </c>
      <c r="M25" s="70"/>
      <c r="N25" s="67">
        <f>ROUND(G25*tab!F$26,2)</f>
        <v>0</v>
      </c>
      <c r="O25" s="67">
        <f>ROUND(H25*tab!G$26,2)</f>
        <v>0</v>
      </c>
      <c r="P25" s="67">
        <f>ROUND(I25*tab!H$26,2)</f>
        <v>0</v>
      </c>
      <c r="Q25" s="67">
        <f>ROUND(J25*tab!I$26,2)</f>
        <v>0</v>
      </c>
      <c r="R25" s="67">
        <f>ROUND(K25*tab!J$26,2)</f>
        <v>0</v>
      </c>
      <c r="S25" s="70"/>
      <c r="T25" s="119">
        <v>0</v>
      </c>
      <c r="U25" s="119">
        <f t="shared" si="5"/>
        <v>0</v>
      </c>
      <c r="V25" s="119">
        <f t="shared" si="5"/>
        <v>0</v>
      </c>
      <c r="W25" s="119">
        <f t="shared" si="6"/>
        <v>0</v>
      </c>
      <c r="X25" s="119">
        <f t="shared" si="7"/>
        <v>0</v>
      </c>
      <c r="Y25" s="70"/>
      <c r="Z25" s="67">
        <f>+G25*tab!F$30</f>
        <v>0</v>
      </c>
      <c r="AA25" s="67">
        <f>+H25*tab!G$30</f>
        <v>0</v>
      </c>
      <c r="AB25" s="67">
        <f>+I25*tab!H$30</f>
        <v>0</v>
      </c>
      <c r="AC25" s="67">
        <f>+J25*tab!I$30</f>
        <v>0</v>
      </c>
      <c r="AD25" s="67">
        <f>+K25*tab!J$30</f>
        <v>0</v>
      </c>
      <c r="AE25" s="70"/>
      <c r="AF25" s="562">
        <v>0</v>
      </c>
      <c r="AG25" s="119">
        <f t="shared" si="9"/>
        <v>0</v>
      </c>
      <c r="AH25" s="119">
        <f t="shared" si="10"/>
        <v>0</v>
      </c>
      <c r="AI25" s="119">
        <f t="shared" si="11"/>
        <v>0</v>
      </c>
      <c r="AJ25" s="119">
        <f t="shared" si="12"/>
        <v>0</v>
      </c>
      <c r="AK25" s="792"/>
      <c r="AL25" s="1481"/>
    </row>
    <row r="26" spans="2:38" s="112" customFormat="1" x14ac:dyDescent="0.2">
      <c r="B26" s="132"/>
      <c r="C26" s="149"/>
      <c r="D26" s="49">
        <v>12</v>
      </c>
      <c r="E26" s="978" t="str">
        <f>+'Li O school'!E26</f>
        <v>school 12</v>
      </c>
      <c r="F26" s="978" t="str">
        <f>+'Li O school'!F26</f>
        <v>11AA</v>
      </c>
      <c r="G26" s="833">
        <f>'Li O school'!I26</f>
        <v>0</v>
      </c>
      <c r="H26" s="833">
        <f>'Li O school'!J26</f>
        <v>0</v>
      </c>
      <c r="I26" s="833">
        <f>'Li O school'!K26</f>
        <v>0</v>
      </c>
      <c r="J26" s="833">
        <f>'Li O school'!L26</f>
        <v>0</v>
      </c>
      <c r="K26" s="833">
        <f>'Li O school'!M26</f>
        <v>0</v>
      </c>
      <c r="L26" s="833">
        <f>'Li O school'!N26</f>
        <v>0</v>
      </c>
      <c r="M26" s="70"/>
      <c r="N26" s="67">
        <f>ROUND(G26*tab!F$26,2)</f>
        <v>0</v>
      </c>
      <c r="O26" s="67">
        <f>ROUND(H26*tab!G$26,2)</f>
        <v>0</v>
      </c>
      <c r="P26" s="67">
        <f>ROUND(I26*tab!H$26,2)</f>
        <v>0</v>
      </c>
      <c r="Q26" s="67">
        <f>ROUND(J26*tab!I$26,2)</f>
        <v>0</v>
      </c>
      <c r="R26" s="67">
        <f>ROUND(K26*tab!J$26,2)</f>
        <v>0</v>
      </c>
      <c r="S26" s="70"/>
      <c r="T26" s="119">
        <v>0</v>
      </c>
      <c r="U26" s="119">
        <f t="shared" si="5"/>
        <v>0</v>
      </c>
      <c r="V26" s="119">
        <f t="shared" si="5"/>
        <v>0</v>
      </c>
      <c r="W26" s="119">
        <f t="shared" si="6"/>
        <v>0</v>
      </c>
      <c r="X26" s="119">
        <f t="shared" si="7"/>
        <v>0</v>
      </c>
      <c r="Y26" s="70"/>
      <c r="Z26" s="67">
        <f>+G26*tab!F$30</f>
        <v>0</v>
      </c>
      <c r="AA26" s="67">
        <f>+H26*tab!G$30</f>
        <v>0</v>
      </c>
      <c r="AB26" s="67">
        <f>+I26*tab!H$30</f>
        <v>0</v>
      </c>
      <c r="AC26" s="67">
        <f>+J26*tab!I$30</f>
        <v>0</v>
      </c>
      <c r="AD26" s="67">
        <f>+K26*tab!J$30</f>
        <v>0</v>
      </c>
      <c r="AE26" s="70"/>
      <c r="AF26" s="562">
        <v>0</v>
      </c>
      <c r="AG26" s="119">
        <f t="shared" si="9"/>
        <v>0</v>
      </c>
      <c r="AH26" s="119">
        <f t="shared" si="10"/>
        <v>0</v>
      </c>
      <c r="AI26" s="119">
        <f t="shared" si="11"/>
        <v>0</v>
      </c>
      <c r="AJ26" s="119">
        <f t="shared" si="12"/>
        <v>0</v>
      </c>
      <c r="AK26" s="792"/>
      <c r="AL26" s="1481"/>
    </row>
    <row r="27" spans="2:38" s="112" customFormat="1" x14ac:dyDescent="0.2">
      <c r="B27" s="132"/>
      <c r="C27" s="149"/>
      <c r="D27" s="49">
        <v>13</v>
      </c>
      <c r="E27" s="978" t="str">
        <f>+'Li O school'!E27</f>
        <v>school 13</v>
      </c>
      <c r="F27" s="978" t="str">
        <f>+'Li O school'!F27</f>
        <v>11AA</v>
      </c>
      <c r="G27" s="833">
        <f>'Li O school'!I27</f>
        <v>0</v>
      </c>
      <c r="H27" s="833">
        <f>'Li O school'!J27</f>
        <v>0</v>
      </c>
      <c r="I27" s="833">
        <f>'Li O school'!K27</f>
        <v>0</v>
      </c>
      <c r="J27" s="833">
        <f>'Li O school'!L27</f>
        <v>0</v>
      </c>
      <c r="K27" s="833">
        <f>'Li O school'!M27</f>
        <v>0</v>
      </c>
      <c r="L27" s="833">
        <f>'Li O school'!N27</f>
        <v>0</v>
      </c>
      <c r="M27" s="70"/>
      <c r="N27" s="67">
        <f>ROUND(G27*tab!F$26,2)</f>
        <v>0</v>
      </c>
      <c r="O27" s="67">
        <f>ROUND(H27*tab!G$26,2)</f>
        <v>0</v>
      </c>
      <c r="P27" s="67">
        <f>ROUND(I27*tab!H$26,2)</f>
        <v>0</v>
      </c>
      <c r="Q27" s="67">
        <f>ROUND(J27*tab!I$26,2)</f>
        <v>0</v>
      </c>
      <c r="R27" s="67">
        <f>ROUND(K27*tab!J$26,2)</f>
        <v>0</v>
      </c>
      <c r="S27" s="70"/>
      <c r="T27" s="119">
        <v>0</v>
      </c>
      <c r="U27" s="119">
        <f t="shared" si="5"/>
        <v>0</v>
      </c>
      <c r="V27" s="119">
        <f t="shared" si="5"/>
        <v>0</v>
      </c>
      <c r="W27" s="119">
        <f t="shared" si="6"/>
        <v>0</v>
      </c>
      <c r="X27" s="119">
        <f t="shared" si="7"/>
        <v>0</v>
      </c>
      <c r="Y27" s="70"/>
      <c r="Z27" s="67">
        <f>+G27*tab!F$30</f>
        <v>0</v>
      </c>
      <c r="AA27" s="67">
        <f>+H27*tab!G$30</f>
        <v>0</v>
      </c>
      <c r="AB27" s="67">
        <f>+I27*tab!H$30</f>
        <v>0</v>
      </c>
      <c r="AC27" s="67">
        <f>+J27*tab!I$30</f>
        <v>0</v>
      </c>
      <c r="AD27" s="67">
        <f>+K27*tab!J$30</f>
        <v>0</v>
      </c>
      <c r="AE27" s="70"/>
      <c r="AF27" s="562">
        <v>0</v>
      </c>
      <c r="AG27" s="119">
        <f t="shared" si="9"/>
        <v>0</v>
      </c>
      <c r="AH27" s="119">
        <f t="shared" si="10"/>
        <v>0</v>
      </c>
      <c r="AI27" s="119">
        <f t="shared" si="11"/>
        <v>0</v>
      </c>
      <c r="AJ27" s="119">
        <f t="shared" si="12"/>
        <v>0</v>
      </c>
      <c r="AK27" s="792"/>
      <c r="AL27" s="1481"/>
    </row>
    <row r="28" spans="2:38" s="112" customFormat="1" x14ac:dyDescent="0.2">
      <c r="B28" s="132"/>
      <c r="C28" s="149"/>
      <c r="D28" s="49">
        <v>14</v>
      </c>
      <c r="E28" s="978" t="str">
        <f>+'Li O school'!E28</f>
        <v>school 14</v>
      </c>
      <c r="F28" s="978" t="str">
        <f>+'Li O school'!F28</f>
        <v>11AA</v>
      </c>
      <c r="G28" s="833">
        <f>'Li O school'!I28</f>
        <v>0</v>
      </c>
      <c r="H28" s="833">
        <f>'Li O school'!J28</f>
        <v>0</v>
      </c>
      <c r="I28" s="833">
        <f>'Li O school'!K28</f>
        <v>0</v>
      </c>
      <c r="J28" s="833">
        <f>'Li O school'!L28</f>
        <v>0</v>
      </c>
      <c r="K28" s="833">
        <f>'Li O school'!M28</f>
        <v>0</v>
      </c>
      <c r="L28" s="833">
        <f>'Li O school'!N28</f>
        <v>0</v>
      </c>
      <c r="M28" s="70"/>
      <c r="N28" s="67">
        <f>ROUND(G28*tab!F$26,2)</f>
        <v>0</v>
      </c>
      <c r="O28" s="67">
        <f>ROUND(H28*tab!G$26,2)</f>
        <v>0</v>
      </c>
      <c r="P28" s="67">
        <f>ROUND(I28*tab!H$26,2)</f>
        <v>0</v>
      </c>
      <c r="Q28" s="67">
        <f>ROUND(J28*tab!I$26,2)</f>
        <v>0</v>
      </c>
      <c r="R28" s="67">
        <f>ROUND(K28*tab!J$26,2)</f>
        <v>0</v>
      </c>
      <c r="S28" s="70"/>
      <c r="T28" s="119">
        <v>0</v>
      </c>
      <c r="U28" s="119">
        <f t="shared" si="5"/>
        <v>0</v>
      </c>
      <c r="V28" s="119">
        <f t="shared" si="5"/>
        <v>0</v>
      </c>
      <c r="W28" s="119">
        <f t="shared" si="6"/>
        <v>0</v>
      </c>
      <c r="X28" s="119">
        <f t="shared" si="7"/>
        <v>0</v>
      </c>
      <c r="Y28" s="70"/>
      <c r="Z28" s="67">
        <f>+G28*tab!F$30</f>
        <v>0</v>
      </c>
      <c r="AA28" s="67">
        <f>+H28*tab!G$30</f>
        <v>0</v>
      </c>
      <c r="AB28" s="67">
        <f>+I28*tab!H$30</f>
        <v>0</v>
      </c>
      <c r="AC28" s="67">
        <f>+J28*tab!I$30</f>
        <v>0</v>
      </c>
      <c r="AD28" s="67">
        <f>+K28*tab!J$30</f>
        <v>0</v>
      </c>
      <c r="AE28" s="70"/>
      <c r="AF28" s="562">
        <v>0</v>
      </c>
      <c r="AG28" s="119">
        <f t="shared" si="9"/>
        <v>0</v>
      </c>
      <c r="AH28" s="119">
        <f t="shared" si="10"/>
        <v>0</v>
      </c>
      <c r="AI28" s="119">
        <f t="shared" si="11"/>
        <v>0</v>
      </c>
      <c r="AJ28" s="119">
        <f t="shared" si="12"/>
        <v>0</v>
      </c>
      <c r="AK28" s="792"/>
      <c r="AL28" s="1481"/>
    </row>
    <row r="29" spans="2:38" s="112" customFormat="1" x14ac:dyDescent="0.2">
      <c r="B29" s="132"/>
      <c r="C29" s="149"/>
      <c r="D29" s="49">
        <v>15</v>
      </c>
      <c r="E29" s="978" t="str">
        <f>+'Li O school'!E29</f>
        <v>school 15</v>
      </c>
      <c r="F29" s="978" t="str">
        <f>+'Li O school'!F29</f>
        <v>11AA</v>
      </c>
      <c r="G29" s="833">
        <f>'Li O school'!I29</f>
        <v>0</v>
      </c>
      <c r="H29" s="833">
        <f>'Li O school'!J29</f>
        <v>0</v>
      </c>
      <c r="I29" s="833">
        <f>'Li O school'!K29</f>
        <v>0</v>
      </c>
      <c r="J29" s="833">
        <f>'Li O school'!L29</f>
        <v>0</v>
      </c>
      <c r="K29" s="833">
        <f>'Li O school'!M29</f>
        <v>0</v>
      </c>
      <c r="L29" s="833">
        <f>'Li O school'!N29</f>
        <v>0</v>
      </c>
      <c r="M29" s="70"/>
      <c r="N29" s="67">
        <f>ROUND(G29*tab!F$26,2)</f>
        <v>0</v>
      </c>
      <c r="O29" s="67">
        <f>ROUND(H29*tab!G$26,2)</f>
        <v>0</v>
      </c>
      <c r="P29" s="67">
        <f>ROUND(I29*tab!H$26,2)</f>
        <v>0</v>
      </c>
      <c r="Q29" s="67">
        <f>ROUND(J29*tab!I$26,2)</f>
        <v>0</v>
      </c>
      <c r="R29" s="67">
        <f>ROUND(K29*tab!J$26,2)</f>
        <v>0</v>
      </c>
      <c r="S29" s="70"/>
      <c r="T29" s="119">
        <v>0</v>
      </c>
      <c r="U29" s="119">
        <f t="shared" si="5"/>
        <v>0</v>
      </c>
      <c r="V29" s="119">
        <f t="shared" si="5"/>
        <v>0</v>
      </c>
      <c r="W29" s="119">
        <f t="shared" si="6"/>
        <v>0</v>
      </c>
      <c r="X29" s="119">
        <f t="shared" si="7"/>
        <v>0</v>
      </c>
      <c r="Y29" s="70"/>
      <c r="Z29" s="67">
        <f>+G29*tab!F$30</f>
        <v>0</v>
      </c>
      <c r="AA29" s="67">
        <f>+H29*tab!G$30</f>
        <v>0</v>
      </c>
      <c r="AB29" s="67">
        <f>+I29*tab!H$30</f>
        <v>0</v>
      </c>
      <c r="AC29" s="67">
        <f>+J29*tab!I$30</f>
        <v>0</v>
      </c>
      <c r="AD29" s="67">
        <f>+K29*tab!J$30</f>
        <v>0</v>
      </c>
      <c r="AE29" s="70"/>
      <c r="AF29" s="562">
        <v>0</v>
      </c>
      <c r="AG29" s="119">
        <f t="shared" si="9"/>
        <v>0</v>
      </c>
      <c r="AH29" s="119">
        <f t="shared" si="10"/>
        <v>0</v>
      </c>
      <c r="AI29" s="119">
        <f t="shared" si="11"/>
        <v>0</v>
      </c>
      <c r="AJ29" s="119">
        <f t="shared" si="12"/>
        <v>0</v>
      </c>
      <c r="AK29" s="792"/>
      <c r="AL29" s="1481"/>
    </row>
    <row r="30" spans="2:38" s="112" customFormat="1" x14ac:dyDescent="0.2">
      <c r="B30" s="132"/>
      <c r="C30" s="149"/>
      <c r="D30" s="49">
        <v>16</v>
      </c>
      <c r="E30" s="978" t="str">
        <f>+'Li O school'!E30</f>
        <v>school 16</v>
      </c>
      <c r="F30" s="978" t="str">
        <f>+'Li O school'!F30</f>
        <v>11AA</v>
      </c>
      <c r="G30" s="833">
        <f>'Li O school'!I30</f>
        <v>0</v>
      </c>
      <c r="H30" s="833">
        <f>'Li O school'!J30</f>
        <v>0</v>
      </c>
      <c r="I30" s="833">
        <f>'Li O school'!K30</f>
        <v>0</v>
      </c>
      <c r="J30" s="833">
        <f>'Li O school'!L30</f>
        <v>0</v>
      </c>
      <c r="K30" s="833">
        <f>'Li O school'!M30</f>
        <v>0</v>
      </c>
      <c r="L30" s="833">
        <f>'Li O school'!N30</f>
        <v>0</v>
      </c>
      <c r="M30" s="70"/>
      <c r="N30" s="67">
        <f>ROUND(G30*tab!F$26,2)</f>
        <v>0</v>
      </c>
      <c r="O30" s="67">
        <f>ROUND(H30*tab!G$26,2)</f>
        <v>0</v>
      </c>
      <c r="P30" s="67">
        <f>ROUND(I30*tab!H$26,2)</f>
        <v>0</v>
      </c>
      <c r="Q30" s="67">
        <f>ROUND(J30*tab!I$26,2)</f>
        <v>0</v>
      </c>
      <c r="R30" s="67">
        <f>ROUND(K30*tab!J$26,2)</f>
        <v>0</v>
      </c>
      <c r="S30" s="70"/>
      <c r="T30" s="119">
        <v>0</v>
      </c>
      <c r="U30" s="119">
        <f t="shared" si="5"/>
        <v>0</v>
      </c>
      <c r="V30" s="119">
        <f t="shared" si="5"/>
        <v>0</v>
      </c>
      <c r="W30" s="119">
        <f t="shared" si="6"/>
        <v>0</v>
      </c>
      <c r="X30" s="119">
        <f t="shared" si="7"/>
        <v>0</v>
      </c>
      <c r="Y30" s="70"/>
      <c r="Z30" s="67">
        <f>+G30*tab!F$30</f>
        <v>0</v>
      </c>
      <c r="AA30" s="67">
        <f>+H30*tab!G$30</f>
        <v>0</v>
      </c>
      <c r="AB30" s="67">
        <f>+I30*tab!H$30</f>
        <v>0</v>
      </c>
      <c r="AC30" s="67">
        <f>+J30*tab!I$30</f>
        <v>0</v>
      </c>
      <c r="AD30" s="67">
        <f>+K30*tab!J$30</f>
        <v>0</v>
      </c>
      <c r="AE30" s="70"/>
      <c r="AF30" s="562">
        <v>0</v>
      </c>
      <c r="AG30" s="119">
        <f t="shared" si="9"/>
        <v>0</v>
      </c>
      <c r="AH30" s="119">
        <f t="shared" si="10"/>
        <v>0</v>
      </c>
      <c r="AI30" s="119">
        <f t="shared" si="11"/>
        <v>0</v>
      </c>
      <c r="AJ30" s="119">
        <f t="shared" si="12"/>
        <v>0</v>
      </c>
      <c r="AK30" s="792"/>
      <c r="AL30" s="1481"/>
    </row>
    <row r="31" spans="2:38" s="112" customFormat="1" x14ac:dyDescent="0.2">
      <c r="B31" s="132"/>
      <c r="C31" s="149"/>
      <c r="D31" s="49">
        <v>17</v>
      </c>
      <c r="E31" s="978" t="str">
        <f>+'Li O school'!E31</f>
        <v>school 17</v>
      </c>
      <c r="F31" s="978" t="str">
        <f>+'Li O school'!F31</f>
        <v>11AA</v>
      </c>
      <c r="G31" s="833">
        <f>'Li O school'!I31</f>
        <v>0</v>
      </c>
      <c r="H31" s="833">
        <f>'Li O school'!J31</f>
        <v>0</v>
      </c>
      <c r="I31" s="833">
        <f>'Li O school'!K31</f>
        <v>0</v>
      </c>
      <c r="J31" s="833">
        <f>'Li O school'!L31</f>
        <v>0</v>
      </c>
      <c r="K31" s="833">
        <f>'Li O school'!M31</f>
        <v>0</v>
      </c>
      <c r="L31" s="833">
        <f>'Li O school'!N31</f>
        <v>0</v>
      </c>
      <c r="M31" s="70"/>
      <c r="N31" s="67">
        <f>ROUND(G31*tab!F$26,2)</f>
        <v>0</v>
      </c>
      <c r="O31" s="67">
        <f>ROUND(H31*tab!G$26,2)</f>
        <v>0</v>
      </c>
      <c r="P31" s="67">
        <f>ROUND(I31*tab!H$26,2)</f>
        <v>0</v>
      </c>
      <c r="Q31" s="67">
        <f>ROUND(J31*tab!I$26,2)</f>
        <v>0</v>
      </c>
      <c r="R31" s="67">
        <f>ROUND(K31*tab!J$26,2)</f>
        <v>0</v>
      </c>
      <c r="S31" s="70"/>
      <c r="T31" s="119">
        <v>0</v>
      </c>
      <c r="U31" s="119">
        <f t="shared" si="5"/>
        <v>0</v>
      </c>
      <c r="V31" s="119">
        <f t="shared" si="5"/>
        <v>0</v>
      </c>
      <c r="W31" s="119">
        <f t="shared" si="6"/>
        <v>0</v>
      </c>
      <c r="X31" s="119">
        <f t="shared" si="7"/>
        <v>0</v>
      </c>
      <c r="Y31" s="70"/>
      <c r="Z31" s="67">
        <f>+G31*tab!F$30</f>
        <v>0</v>
      </c>
      <c r="AA31" s="67">
        <f>+H31*tab!G$30</f>
        <v>0</v>
      </c>
      <c r="AB31" s="67">
        <f>+I31*tab!H$30</f>
        <v>0</v>
      </c>
      <c r="AC31" s="67">
        <f>+J31*tab!I$30</f>
        <v>0</v>
      </c>
      <c r="AD31" s="67">
        <f>+K31*tab!J$30</f>
        <v>0</v>
      </c>
      <c r="AE31" s="70"/>
      <c r="AF31" s="562">
        <v>0</v>
      </c>
      <c r="AG31" s="119">
        <f t="shared" si="9"/>
        <v>0</v>
      </c>
      <c r="AH31" s="119">
        <f t="shared" si="10"/>
        <v>0</v>
      </c>
      <c r="AI31" s="119">
        <f t="shared" si="11"/>
        <v>0</v>
      </c>
      <c r="AJ31" s="119">
        <f t="shared" si="12"/>
        <v>0</v>
      </c>
      <c r="AK31" s="792"/>
      <c r="AL31" s="1481"/>
    </row>
    <row r="32" spans="2:38" s="112" customFormat="1" x14ac:dyDescent="0.2">
      <c r="B32" s="132"/>
      <c r="C32" s="149"/>
      <c r="D32" s="49">
        <v>18</v>
      </c>
      <c r="E32" s="978" t="str">
        <f>+'Li O school'!E32</f>
        <v>school 18</v>
      </c>
      <c r="F32" s="978" t="str">
        <f>+'Li O school'!F32</f>
        <v>11AA</v>
      </c>
      <c r="G32" s="833">
        <f>'Li O school'!I32</f>
        <v>0</v>
      </c>
      <c r="H32" s="833">
        <f>'Li O school'!J32</f>
        <v>0</v>
      </c>
      <c r="I32" s="833">
        <f>'Li O school'!K32</f>
        <v>0</v>
      </c>
      <c r="J32" s="833">
        <f>'Li O school'!L32</f>
        <v>0</v>
      </c>
      <c r="K32" s="833">
        <f>'Li O school'!M32</f>
        <v>0</v>
      </c>
      <c r="L32" s="833">
        <f>'Li O school'!N32</f>
        <v>0</v>
      </c>
      <c r="M32" s="70"/>
      <c r="N32" s="67">
        <f>ROUND(G32*tab!F$26,2)</f>
        <v>0</v>
      </c>
      <c r="O32" s="67">
        <f>ROUND(H32*tab!G$26,2)</f>
        <v>0</v>
      </c>
      <c r="P32" s="67">
        <f>ROUND(I32*tab!H$26,2)</f>
        <v>0</v>
      </c>
      <c r="Q32" s="67">
        <f>ROUND(J32*tab!I$26,2)</f>
        <v>0</v>
      </c>
      <c r="R32" s="67">
        <f>ROUND(K32*tab!J$26,2)</f>
        <v>0</v>
      </c>
      <c r="S32" s="70"/>
      <c r="T32" s="119">
        <v>0</v>
      </c>
      <c r="U32" s="119">
        <f t="shared" si="5"/>
        <v>0</v>
      </c>
      <c r="V32" s="119">
        <f t="shared" si="5"/>
        <v>0</v>
      </c>
      <c r="W32" s="119">
        <f t="shared" si="6"/>
        <v>0</v>
      </c>
      <c r="X32" s="119">
        <f t="shared" si="7"/>
        <v>0</v>
      </c>
      <c r="Y32" s="70"/>
      <c r="Z32" s="67">
        <f>+G32*tab!F$30</f>
        <v>0</v>
      </c>
      <c r="AA32" s="67">
        <f>+H32*tab!G$30</f>
        <v>0</v>
      </c>
      <c r="AB32" s="67">
        <f>+I32*tab!H$30</f>
        <v>0</v>
      </c>
      <c r="AC32" s="67">
        <f>+J32*tab!I$30</f>
        <v>0</v>
      </c>
      <c r="AD32" s="67">
        <f>+K32*tab!J$30</f>
        <v>0</v>
      </c>
      <c r="AE32" s="70"/>
      <c r="AF32" s="562">
        <v>0</v>
      </c>
      <c r="AG32" s="119">
        <f t="shared" si="9"/>
        <v>0</v>
      </c>
      <c r="AH32" s="119">
        <f t="shared" si="10"/>
        <v>0</v>
      </c>
      <c r="AI32" s="119">
        <f t="shared" si="11"/>
        <v>0</v>
      </c>
      <c r="AJ32" s="119">
        <f t="shared" si="12"/>
        <v>0</v>
      </c>
      <c r="AK32" s="792"/>
      <c r="AL32" s="1481"/>
    </row>
    <row r="33" spans="2:38" s="112" customFormat="1" x14ac:dyDescent="0.2">
      <c r="B33" s="132"/>
      <c r="C33" s="149"/>
      <c r="D33" s="49">
        <v>19</v>
      </c>
      <c r="E33" s="978" t="str">
        <f>+'Li O school'!E33</f>
        <v>school 19</v>
      </c>
      <c r="F33" s="978" t="str">
        <f>+'Li O school'!F33</f>
        <v>11AA</v>
      </c>
      <c r="G33" s="833">
        <f>'Li O school'!I33</f>
        <v>0</v>
      </c>
      <c r="H33" s="833">
        <f>'Li O school'!J33</f>
        <v>0</v>
      </c>
      <c r="I33" s="833">
        <f>'Li O school'!K33</f>
        <v>0</v>
      </c>
      <c r="J33" s="833">
        <f>'Li O school'!L33</f>
        <v>0</v>
      </c>
      <c r="K33" s="833">
        <f>'Li O school'!M33</f>
        <v>0</v>
      </c>
      <c r="L33" s="833">
        <f>'Li O school'!N33</f>
        <v>0</v>
      </c>
      <c r="M33" s="70"/>
      <c r="N33" s="67">
        <f>ROUND(G33*tab!F$26,2)</f>
        <v>0</v>
      </c>
      <c r="O33" s="67">
        <f>ROUND(H33*tab!G$26,2)</f>
        <v>0</v>
      </c>
      <c r="P33" s="67">
        <f>ROUND(I33*tab!H$26,2)</f>
        <v>0</v>
      </c>
      <c r="Q33" s="67">
        <f>ROUND(J33*tab!I$26,2)</f>
        <v>0</v>
      </c>
      <c r="R33" s="67">
        <f>ROUND(K33*tab!J$26,2)</f>
        <v>0</v>
      </c>
      <c r="S33" s="70"/>
      <c r="T33" s="119">
        <v>0</v>
      </c>
      <c r="U33" s="119">
        <f t="shared" si="5"/>
        <v>0</v>
      </c>
      <c r="V33" s="119">
        <f t="shared" si="5"/>
        <v>0</v>
      </c>
      <c r="W33" s="119">
        <f t="shared" si="6"/>
        <v>0</v>
      </c>
      <c r="X33" s="119">
        <f t="shared" si="7"/>
        <v>0</v>
      </c>
      <c r="Y33" s="70"/>
      <c r="Z33" s="67">
        <f>+G33*tab!F$30</f>
        <v>0</v>
      </c>
      <c r="AA33" s="67">
        <f>+H33*tab!G$30</f>
        <v>0</v>
      </c>
      <c r="AB33" s="67">
        <f>+I33*tab!H$30</f>
        <v>0</v>
      </c>
      <c r="AC33" s="67">
        <f>+J33*tab!I$30</f>
        <v>0</v>
      </c>
      <c r="AD33" s="67">
        <f>+K33*tab!J$30</f>
        <v>0</v>
      </c>
      <c r="AE33" s="70"/>
      <c r="AF33" s="562">
        <v>0</v>
      </c>
      <c r="AG33" s="119">
        <f t="shared" si="9"/>
        <v>0</v>
      </c>
      <c r="AH33" s="119">
        <f t="shared" si="10"/>
        <v>0</v>
      </c>
      <c r="AI33" s="119">
        <f t="shared" si="11"/>
        <v>0</v>
      </c>
      <c r="AJ33" s="119">
        <f t="shared" si="12"/>
        <v>0</v>
      </c>
      <c r="AK33" s="792"/>
      <c r="AL33" s="1481"/>
    </row>
    <row r="34" spans="2:38" s="112" customFormat="1" x14ac:dyDescent="0.2">
      <c r="B34" s="132"/>
      <c r="C34" s="149"/>
      <c r="D34" s="49">
        <v>20</v>
      </c>
      <c r="E34" s="978" t="str">
        <f>+'Li O school'!E34</f>
        <v>school 20</v>
      </c>
      <c r="F34" s="978" t="str">
        <f>+'Li O school'!F34</f>
        <v>11AA</v>
      </c>
      <c r="G34" s="833">
        <f>'Li O school'!I34</f>
        <v>0</v>
      </c>
      <c r="H34" s="833">
        <f>'Li O school'!J34</f>
        <v>0</v>
      </c>
      <c r="I34" s="833">
        <f>'Li O school'!K34</f>
        <v>0</v>
      </c>
      <c r="J34" s="833">
        <f>'Li O school'!L34</f>
        <v>0</v>
      </c>
      <c r="K34" s="833">
        <f>'Li O school'!M34</f>
        <v>0</v>
      </c>
      <c r="L34" s="833">
        <f>'Li O school'!N34</f>
        <v>0</v>
      </c>
      <c r="M34" s="70"/>
      <c r="N34" s="67">
        <f>ROUND(G34*tab!F$26,2)</f>
        <v>0</v>
      </c>
      <c r="O34" s="67">
        <f>ROUND(H34*tab!G$26,2)</f>
        <v>0</v>
      </c>
      <c r="P34" s="67">
        <f>ROUND(I34*tab!H$26,2)</f>
        <v>0</v>
      </c>
      <c r="Q34" s="67">
        <f>ROUND(J34*tab!I$26,2)</f>
        <v>0</v>
      </c>
      <c r="R34" s="67">
        <f>ROUND(K34*tab!J$26,2)</f>
        <v>0</v>
      </c>
      <c r="S34" s="70"/>
      <c r="T34" s="119">
        <v>0</v>
      </c>
      <c r="U34" s="119">
        <f t="shared" si="5"/>
        <v>0</v>
      </c>
      <c r="V34" s="119">
        <f t="shared" si="5"/>
        <v>0</v>
      </c>
      <c r="W34" s="119">
        <f t="shared" si="6"/>
        <v>0</v>
      </c>
      <c r="X34" s="119">
        <f t="shared" si="7"/>
        <v>0</v>
      </c>
      <c r="Y34" s="70"/>
      <c r="Z34" s="67">
        <f>+G34*tab!F$30</f>
        <v>0</v>
      </c>
      <c r="AA34" s="67">
        <f>+H34*tab!G$30</f>
        <v>0</v>
      </c>
      <c r="AB34" s="67">
        <f>+I34*tab!H$30</f>
        <v>0</v>
      </c>
      <c r="AC34" s="67">
        <f>+J34*tab!I$30</f>
        <v>0</v>
      </c>
      <c r="AD34" s="67">
        <f>+K34*tab!J$30</f>
        <v>0</v>
      </c>
      <c r="AE34" s="70"/>
      <c r="AF34" s="562">
        <v>0</v>
      </c>
      <c r="AG34" s="119">
        <f t="shared" si="9"/>
        <v>0</v>
      </c>
      <c r="AH34" s="119">
        <f t="shared" si="10"/>
        <v>0</v>
      </c>
      <c r="AI34" s="119">
        <f t="shared" si="11"/>
        <v>0</v>
      </c>
      <c r="AJ34" s="119">
        <f t="shared" si="12"/>
        <v>0</v>
      </c>
      <c r="AK34" s="792"/>
      <c r="AL34" s="1481"/>
    </row>
    <row r="35" spans="2:38" s="112" customFormat="1" x14ac:dyDescent="0.2">
      <c r="B35" s="132"/>
      <c r="C35" s="149"/>
      <c r="D35" s="49">
        <v>21</v>
      </c>
      <c r="E35" s="978" t="str">
        <f>+'Li O school'!E35</f>
        <v>school 21</v>
      </c>
      <c r="F35" s="978" t="str">
        <f>+'Li O school'!F35</f>
        <v>11AA</v>
      </c>
      <c r="G35" s="833">
        <f>'Li O school'!I35</f>
        <v>0</v>
      </c>
      <c r="H35" s="833">
        <f>'Li O school'!J35</f>
        <v>0</v>
      </c>
      <c r="I35" s="833">
        <f>'Li O school'!K35</f>
        <v>0</v>
      </c>
      <c r="J35" s="833">
        <f>'Li O school'!L35</f>
        <v>0</v>
      </c>
      <c r="K35" s="833">
        <f>'Li O school'!M35</f>
        <v>0</v>
      </c>
      <c r="L35" s="833">
        <f>'Li O school'!N35</f>
        <v>0</v>
      </c>
      <c r="M35" s="70"/>
      <c r="N35" s="67">
        <f>ROUND(G35*tab!F$26,2)</f>
        <v>0</v>
      </c>
      <c r="O35" s="67">
        <f>ROUND(H35*tab!G$26,2)</f>
        <v>0</v>
      </c>
      <c r="P35" s="67">
        <f>ROUND(I35*tab!H$26,2)</f>
        <v>0</v>
      </c>
      <c r="Q35" s="67">
        <f>ROUND(J35*tab!I$26,2)</f>
        <v>0</v>
      </c>
      <c r="R35" s="67">
        <f>ROUND(K35*tab!J$26,2)</f>
        <v>0</v>
      </c>
      <c r="S35" s="70"/>
      <c r="T35" s="119">
        <v>0</v>
      </c>
      <c r="U35" s="119">
        <f t="shared" ref="U35:V54" si="13">T35</f>
        <v>0</v>
      </c>
      <c r="V35" s="119">
        <f t="shared" si="13"/>
        <v>0</v>
      </c>
      <c r="W35" s="119">
        <f t="shared" si="6"/>
        <v>0</v>
      </c>
      <c r="X35" s="119">
        <f t="shared" si="7"/>
        <v>0</v>
      </c>
      <c r="Y35" s="70"/>
      <c r="Z35" s="67">
        <f>+G35*tab!F$30</f>
        <v>0</v>
      </c>
      <c r="AA35" s="67">
        <f>+H35*tab!G$30</f>
        <v>0</v>
      </c>
      <c r="AB35" s="67">
        <f>+I35*tab!H$30</f>
        <v>0</v>
      </c>
      <c r="AC35" s="67">
        <f>+J35*tab!I$30</f>
        <v>0</v>
      </c>
      <c r="AD35" s="67">
        <f>+K35*tab!J$30</f>
        <v>0</v>
      </c>
      <c r="AE35" s="70"/>
      <c r="AF35" s="562">
        <v>0</v>
      </c>
      <c r="AG35" s="119">
        <f t="shared" si="9"/>
        <v>0</v>
      </c>
      <c r="AH35" s="119">
        <f t="shared" si="10"/>
        <v>0</v>
      </c>
      <c r="AI35" s="119">
        <f t="shared" si="11"/>
        <v>0</v>
      </c>
      <c r="AJ35" s="119">
        <f t="shared" si="12"/>
        <v>0</v>
      </c>
      <c r="AK35" s="792"/>
      <c r="AL35" s="1481"/>
    </row>
    <row r="36" spans="2:38" s="112" customFormat="1" x14ac:dyDescent="0.2">
      <c r="B36" s="132"/>
      <c r="C36" s="149"/>
      <c r="D36" s="49">
        <v>22</v>
      </c>
      <c r="E36" s="978" t="str">
        <f>+'Li O school'!E36</f>
        <v>school 22</v>
      </c>
      <c r="F36" s="978" t="str">
        <f>+'Li O school'!F36</f>
        <v>11AA</v>
      </c>
      <c r="G36" s="833">
        <f>'Li O school'!I36</f>
        <v>0</v>
      </c>
      <c r="H36" s="833">
        <f>'Li O school'!J36</f>
        <v>0</v>
      </c>
      <c r="I36" s="833">
        <f>'Li O school'!K36</f>
        <v>0</v>
      </c>
      <c r="J36" s="833">
        <f>'Li O school'!L36</f>
        <v>0</v>
      </c>
      <c r="K36" s="833">
        <f>'Li O school'!M36</f>
        <v>0</v>
      </c>
      <c r="L36" s="833">
        <f>'Li O school'!N36</f>
        <v>0</v>
      </c>
      <c r="M36" s="70"/>
      <c r="N36" s="67">
        <f>ROUND(G36*tab!F$26,2)</f>
        <v>0</v>
      </c>
      <c r="O36" s="67">
        <f>ROUND(H36*tab!G$26,2)</f>
        <v>0</v>
      </c>
      <c r="P36" s="67">
        <f>ROUND(I36*tab!H$26,2)</f>
        <v>0</v>
      </c>
      <c r="Q36" s="67">
        <f>ROUND(J36*tab!I$26,2)</f>
        <v>0</v>
      </c>
      <c r="R36" s="67">
        <f>ROUND(K36*tab!J$26,2)</f>
        <v>0</v>
      </c>
      <c r="S36" s="70"/>
      <c r="T36" s="119">
        <v>0</v>
      </c>
      <c r="U36" s="119">
        <f t="shared" si="13"/>
        <v>0</v>
      </c>
      <c r="V36" s="119">
        <f t="shared" si="13"/>
        <v>0</v>
      </c>
      <c r="W36" s="119">
        <f t="shared" si="6"/>
        <v>0</v>
      </c>
      <c r="X36" s="119">
        <f t="shared" si="7"/>
        <v>0</v>
      </c>
      <c r="Y36" s="70"/>
      <c r="Z36" s="67">
        <f>+G36*tab!F$30</f>
        <v>0</v>
      </c>
      <c r="AA36" s="67">
        <f>+H36*tab!G$30</f>
        <v>0</v>
      </c>
      <c r="AB36" s="67">
        <f>+I36*tab!H$30</f>
        <v>0</v>
      </c>
      <c r="AC36" s="67">
        <f>+J36*tab!I$30</f>
        <v>0</v>
      </c>
      <c r="AD36" s="67">
        <f>+K36*tab!J$30</f>
        <v>0</v>
      </c>
      <c r="AE36" s="70"/>
      <c r="AF36" s="562">
        <v>0</v>
      </c>
      <c r="AG36" s="119">
        <f t="shared" si="9"/>
        <v>0</v>
      </c>
      <c r="AH36" s="119">
        <f t="shared" si="10"/>
        <v>0</v>
      </c>
      <c r="AI36" s="119">
        <f t="shared" si="11"/>
        <v>0</v>
      </c>
      <c r="AJ36" s="119">
        <f t="shared" si="12"/>
        <v>0</v>
      </c>
      <c r="AK36" s="792"/>
      <c r="AL36" s="1481"/>
    </row>
    <row r="37" spans="2:38" s="112" customFormat="1" x14ac:dyDescent="0.2">
      <c r="B37" s="132"/>
      <c r="C37" s="149"/>
      <c r="D37" s="49">
        <v>23</v>
      </c>
      <c r="E37" s="978" t="str">
        <f>+'Li O school'!E37</f>
        <v>school 23</v>
      </c>
      <c r="F37" s="978" t="str">
        <f>+'Li O school'!F37</f>
        <v>11AA</v>
      </c>
      <c r="G37" s="833">
        <f>'Li O school'!I37</f>
        <v>0</v>
      </c>
      <c r="H37" s="833">
        <f>'Li O school'!J37</f>
        <v>0</v>
      </c>
      <c r="I37" s="833">
        <f>'Li O school'!K37</f>
        <v>0</v>
      </c>
      <c r="J37" s="833">
        <f>'Li O school'!L37</f>
        <v>0</v>
      </c>
      <c r="K37" s="833">
        <f>'Li O school'!M37</f>
        <v>0</v>
      </c>
      <c r="L37" s="833">
        <f>'Li O school'!N37</f>
        <v>0</v>
      </c>
      <c r="M37" s="70"/>
      <c r="N37" s="67">
        <f>ROUND(G37*tab!F$26,2)</f>
        <v>0</v>
      </c>
      <c r="O37" s="67">
        <f>ROUND(H37*tab!G$26,2)</f>
        <v>0</v>
      </c>
      <c r="P37" s="67">
        <f>ROUND(I37*tab!H$26,2)</f>
        <v>0</v>
      </c>
      <c r="Q37" s="67">
        <f>ROUND(J37*tab!I$26,2)</f>
        <v>0</v>
      </c>
      <c r="R37" s="67">
        <f>ROUND(K37*tab!J$26,2)</f>
        <v>0</v>
      </c>
      <c r="S37" s="70"/>
      <c r="T37" s="119">
        <v>0</v>
      </c>
      <c r="U37" s="119">
        <f t="shared" si="13"/>
        <v>0</v>
      </c>
      <c r="V37" s="119">
        <f t="shared" si="13"/>
        <v>0</v>
      </c>
      <c r="W37" s="119">
        <f t="shared" si="6"/>
        <v>0</v>
      </c>
      <c r="X37" s="119">
        <f t="shared" si="7"/>
        <v>0</v>
      </c>
      <c r="Y37" s="70"/>
      <c r="Z37" s="67">
        <f>+G37*tab!F$30</f>
        <v>0</v>
      </c>
      <c r="AA37" s="67">
        <f>+H37*tab!G$30</f>
        <v>0</v>
      </c>
      <c r="AB37" s="67">
        <f>+I37*tab!H$30</f>
        <v>0</v>
      </c>
      <c r="AC37" s="67">
        <f>+J37*tab!I$30</f>
        <v>0</v>
      </c>
      <c r="AD37" s="67">
        <f>+K37*tab!J$30</f>
        <v>0</v>
      </c>
      <c r="AE37" s="70"/>
      <c r="AF37" s="562">
        <v>0</v>
      </c>
      <c r="AG37" s="119">
        <f t="shared" si="9"/>
        <v>0</v>
      </c>
      <c r="AH37" s="119">
        <f t="shared" si="10"/>
        <v>0</v>
      </c>
      <c r="AI37" s="119">
        <f t="shared" si="11"/>
        <v>0</v>
      </c>
      <c r="AJ37" s="119">
        <f t="shared" si="12"/>
        <v>0</v>
      </c>
      <c r="AK37" s="792"/>
      <c r="AL37" s="1481"/>
    </row>
    <row r="38" spans="2:38" s="112" customFormat="1" x14ac:dyDescent="0.2">
      <c r="B38" s="132"/>
      <c r="C38" s="149"/>
      <c r="D38" s="49">
        <v>24</v>
      </c>
      <c r="E38" s="978" t="str">
        <f>+'Li O school'!E38</f>
        <v>school 24</v>
      </c>
      <c r="F38" s="978" t="str">
        <f>+'Li O school'!F38</f>
        <v>11AA</v>
      </c>
      <c r="G38" s="833">
        <f>'Li O school'!I38</f>
        <v>0</v>
      </c>
      <c r="H38" s="833">
        <f>'Li O school'!J38</f>
        <v>0</v>
      </c>
      <c r="I38" s="833">
        <f>'Li O school'!K38</f>
        <v>0</v>
      </c>
      <c r="J38" s="833">
        <f>'Li O school'!L38</f>
        <v>0</v>
      </c>
      <c r="K38" s="833">
        <f>'Li O school'!M38</f>
        <v>0</v>
      </c>
      <c r="L38" s="833">
        <f>'Li O school'!N38</f>
        <v>0</v>
      </c>
      <c r="M38" s="70"/>
      <c r="N38" s="67">
        <f>ROUND(G38*tab!F$26,2)</f>
        <v>0</v>
      </c>
      <c r="O38" s="67">
        <f>ROUND(H38*tab!G$26,2)</f>
        <v>0</v>
      </c>
      <c r="P38" s="67">
        <f>ROUND(I38*tab!H$26,2)</f>
        <v>0</v>
      </c>
      <c r="Q38" s="67">
        <f>ROUND(J38*tab!I$26,2)</f>
        <v>0</v>
      </c>
      <c r="R38" s="67">
        <f>ROUND(K38*tab!J$26,2)</f>
        <v>0</v>
      </c>
      <c r="S38" s="70"/>
      <c r="T38" s="119">
        <v>0</v>
      </c>
      <c r="U38" s="119">
        <f t="shared" si="13"/>
        <v>0</v>
      </c>
      <c r="V38" s="119">
        <f t="shared" si="13"/>
        <v>0</v>
      </c>
      <c r="W38" s="119">
        <f t="shared" si="6"/>
        <v>0</v>
      </c>
      <c r="X38" s="119">
        <f t="shared" si="7"/>
        <v>0</v>
      </c>
      <c r="Y38" s="70"/>
      <c r="Z38" s="67">
        <f>+G38*tab!F$30</f>
        <v>0</v>
      </c>
      <c r="AA38" s="67">
        <f>+H38*tab!G$30</f>
        <v>0</v>
      </c>
      <c r="AB38" s="67">
        <f>+I38*tab!H$30</f>
        <v>0</v>
      </c>
      <c r="AC38" s="67">
        <f>+J38*tab!I$30</f>
        <v>0</v>
      </c>
      <c r="AD38" s="67">
        <f>+K38*tab!J$30</f>
        <v>0</v>
      </c>
      <c r="AE38" s="70"/>
      <c r="AF38" s="562">
        <v>0</v>
      </c>
      <c r="AG38" s="119">
        <f t="shared" si="9"/>
        <v>0</v>
      </c>
      <c r="AH38" s="119">
        <f t="shared" si="10"/>
        <v>0</v>
      </c>
      <c r="AI38" s="119">
        <f t="shared" si="11"/>
        <v>0</v>
      </c>
      <c r="AJ38" s="119">
        <f t="shared" si="12"/>
        <v>0</v>
      </c>
      <c r="AK38" s="792"/>
      <c r="AL38" s="1481"/>
    </row>
    <row r="39" spans="2:38" s="112" customFormat="1" x14ac:dyDescent="0.2">
      <c r="B39" s="132"/>
      <c r="C39" s="149"/>
      <c r="D39" s="49">
        <v>25</v>
      </c>
      <c r="E39" s="978" t="str">
        <f>+'Li O school'!E39</f>
        <v>school 25</v>
      </c>
      <c r="F39" s="978" t="str">
        <f>+'Li O school'!F39</f>
        <v>11AA</v>
      </c>
      <c r="G39" s="833">
        <f>'Li O school'!I39</f>
        <v>0</v>
      </c>
      <c r="H39" s="833">
        <f>'Li O school'!J39</f>
        <v>0</v>
      </c>
      <c r="I39" s="833">
        <f>'Li O school'!K39</f>
        <v>0</v>
      </c>
      <c r="J39" s="833">
        <f>'Li O school'!L39</f>
        <v>0</v>
      </c>
      <c r="K39" s="833">
        <f>'Li O school'!M39</f>
        <v>0</v>
      </c>
      <c r="L39" s="833">
        <f>'Li O school'!N39</f>
        <v>0</v>
      </c>
      <c r="M39" s="70"/>
      <c r="N39" s="67">
        <f>ROUND(G39*tab!F$26,2)</f>
        <v>0</v>
      </c>
      <c r="O39" s="67">
        <f>ROUND(H39*tab!G$26,2)</f>
        <v>0</v>
      </c>
      <c r="P39" s="67">
        <f>ROUND(I39*tab!H$26,2)</f>
        <v>0</v>
      </c>
      <c r="Q39" s="67">
        <f>ROUND(J39*tab!I$26,2)</f>
        <v>0</v>
      </c>
      <c r="R39" s="67">
        <f>ROUND(K39*tab!J$26,2)</f>
        <v>0</v>
      </c>
      <c r="S39" s="70"/>
      <c r="T39" s="119">
        <v>0</v>
      </c>
      <c r="U39" s="119">
        <f t="shared" si="13"/>
        <v>0</v>
      </c>
      <c r="V39" s="119">
        <f t="shared" si="13"/>
        <v>0</v>
      </c>
      <c r="W39" s="119">
        <f t="shared" si="6"/>
        <v>0</v>
      </c>
      <c r="X39" s="119">
        <f t="shared" si="7"/>
        <v>0</v>
      </c>
      <c r="Y39" s="70"/>
      <c r="Z39" s="67">
        <f>+G39*tab!F$30</f>
        <v>0</v>
      </c>
      <c r="AA39" s="67">
        <f>+H39*tab!G$30</f>
        <v>0</v>
      </c>
      <c r="AB39" s="67">
        <f>+I39*tab!H$30</f>
        <v>0</v>
      </c>
      <c r="AC39" s="67">
        <f>+J39*tab!I$30</f>
        <v>0</v>
      </c>
      <c r="AD39" s="67">
        <f>+K39*tab!J$30</f>
        <v>0</v>
      </c>
      <c r="AE39" s="70"/>
      <c r="AF39" s="562">
        <v>0</v>
      </c>
      <c r="AG39" s="119">
        <f t="shared" si="9"/>
        <v>0</v>
      </c>
      <c r="AH39" s="119">
        <f t="shared" si="10"/>
        <v>0</v>
      </c>
      <c r="AI39" s="119">
        <f t="shared" si="11"/>
        <v>0</v>
      </c>
      <c r="AJ39" s="119">
        <f t="shared" si="12"/>
        <v>0</v>
      </c>
      <c r="AK39" s="792"/>
      <c r="AL39" s="1481"/>
    </row>
    <row r="40" spans="2:38" s="112" customFormat="1" x14ac:dyDescent="0.2">
      <c r="B40" s="132"/>
      <c r="C40" s="149"/>
      <c r="D40" s="49">
        <v>26</v>
      </c>
      <c r="E40" s="978" t="str">
        <f>+'Li O school'!E40</f>
        <v>school 26</v>
      </c>
      <c r="F40" s="978" t="str">
        <f>+'Li O school'!F40</f>
        <v>11AA</v>
      </c>
      <c r="G40" s="833">
        <f>'Li O school'!I40</f>
        <v>0</v>
      </c>
      <c r="H40" s="833">
        <f>'Li O school'!J40</f>
        <v>0</v>
      </c>
      <c r="I40" s="833">
        <f>'Li O school'!K40</f>
        <v>0</v>
      </c>
      <c r="J40" s="833">
        <f>'Li O school'!L40</f>
        <v>0</v>
      </c>
      <c r="K40" s="833">
        <f>'Li O school'!M40</f>
        <v>0</v>
      </c>
      <c r="L40" s="833">
        <f>'Li O school'!N40</f>
        <v>0</v>
      </c>
      <c r="M40" s="70"/>
      <c r="N40" s="67">
        <f>ROUND(G40*tab!F$26,2)</f>
        <v>0</v>
      </c>
      <c r="O40" s="67">
        <f>ROUND(H40*tab!G$26,2)</f>
        <v>0</v>
      </c>
      <c r="P40" s="67">
        <f>ROUND(I40*tab!H$26,2)</f>
        <v>0</v>
      </c>
      <c r="Q40" s="67">
        <f>ROUND(J40*tab!I$26,2)</f>
        <v>0</v>
      </c>
      <c r="R40" s="67">
        <f>ROUND(K40*tab!J$26,2)</f>
        <v>0</v>
      </c>
      <c r="S40" s="70"/>
      <c r="T40" s="119">
        <v>0</v>
      </c>
      <c r="U40" s="119">
        <f t="shared" si="13"/>
        <v>0</v>
      </c>
      <c r="V40" s="119">
        <f t="shared" si="13"/>
        <v>0</v>
      </c>
      <c r="W40" s="119">
        <f t="shared" si="6"/>
        <v>0</v>
      </c>
      <c r="X40" s="119">
        <f t="shared" si="7"/>
        <v>0</v>
      </c>
      <c r="Y40" s="70"/>
      <c r="Z40" s="67">
        <f>+G40*tab!F$30</f>
        <v>0</v>
      </c>
      <c r="AA40" s="67">
        <f>+H40*tab!G$30</f>
        <v>0</v>
      </c>
      <c r="AB40" s="67">
        <f>+I40*tab!H$30</f>
        <v>0</v>
      </c>
      <c r="AC40" s="67">
        <f>+J40*tab!I$30</f>
        <v>0</v>
      </c>
      <c r="AD40" s="67">
        <f>+K40*tab!J$30</f>
        <v>0</v>
      </c>
      <c r="AE40" s="70"/>
      <c r="AF40" s="562">
        <v>0</v>
      </c>
      <c r="AG40" s="119">
        <f t="shared" si="9"/>
        <v>0</v>
      </c>
      <c r="AH40" s="119">
        <f t="shared" si="10"/>
        <v>0</v>
      </c>
      <c r="AI40" s="119">
        <f t="shared" si="11"/>
        <v>0</v>
      </c>
      <c r="AJ40" s="119">
        <f t="shared" si="12"/>
        <v>0</v>
      </c>
      <c r="AK40" s="792"/>
      <c r="AL40" s="1481"/>
    </row>
    <row r="41" spans="2:38" s="112" customFormat="1" x14ac:dyDescent="0.2">
      <c r="B41" s="132"/>
      <c r="C41" s="149"/>
      <c r="D41" s="49">
        <v>27</v>
      </c>
      <c r="E41" s="978" t="str">
        <f>+'Li O school'!E41</f>
        <v>school 27</v>
      </c>
      <c r="F41" s="978" t="str">
        <f>+'Li O school'!F41</f>
        <v>11AA</v>
      </c>
      <c r="G41" s="833">
        <f>'Li O school'!I41</f>
        <v>0</v>
      </c>
      <c r="H41" s="833">
        <f>'Li O school'!J41</f>
        <v>0</v>
      </c>
      <c r="I41" s="833">
        <f>'Li O school'!K41</f>
        <v>0</v>
      </c>
      <c r="J41" s="833">
        <f>'Li O school'!L41</f>
        <v>0</v>
      </c>
      <c r="K41" s="833">
        <f>'Li O school'!M41</f>
        <v>0</v>
      </c>
      <c r="L41" s="833">
        <f>'Li O school'!N41</f>
        <v>0</v>
      </c>
      <c r="M41" s="70"/>
      <c r="N41" s="67">
        <f>ROUND(G41*tab!F$26,2)</f>
        <v>0</v>
      </c>
      <c r="O41" s="67">
        <f>ROUND(H41*tab!G$26,2)</f>
        <v>0</v>
      </c>
      <c r="P41" s="67">
        <f>ROUND(I41*tab!H$26,2)</f>
        <v>0</v>
      </c>
      <c r="Q41" s="67">
        <f>ROUND(J41*tab!I$26,2)</f>
        <v>0</v>
      </c>
      <c r="R41" s="67">
        <f>ROUND(K41*tab!J$26,2)</f>
        <v>0</v>
      </c>
      <c r="S41" s="70"/>
      <c r="T41" s="119">
        <v>0</v>
      </c>
      <c r="U41" s="119">
        <f t="shared" si="13"/>
        <v>0</v>
      </c>
      <c r="V41" s="119">
        <f t="shared" si="13"/>
        <v>0</v>
      </c>
      <c r="W41" s="119">
        <f t="shared" si="6"/>
        <v>0</v>
      </c>
      <c r="X41" s="119">
        <f t="shared" si="7"/>
        <v>0</v>
      </c>
      <c r="Y41" s="70"/>
      <c r="Z41" s="67">
        <f>+G41*tab!F$30</f>
        <v>0</v>
      </c>
      <c r="AA41" s="67">
        <f>+H41*tab!G$30</f>
        <v>0</v>
      </c>
      <c r="AB41" s="67">
        <f>+I41*tab!H$30</f>
        <v>0</v>
      </c>
      <c r="AC41" s="67">
        <f>+J41*tab!I$30</f>
        <v>0</v>
      </c>
      <c r="AD41" s="67">
        <f>+K41*tab!J$30</f>
        <v>0</v>
      </c>
      <c r="AE41" s="70"/>
      <c r="AF41" s="562">
        <v>0</v>
      </c>
      <c r="AG41" s="119">
        <f t="shared" si="9"/>
        <v>0</v>
      </c>
      <c r="AH41" s="119">
        <f t="shared" si="10"/>
        <v>0</v>
      </c>
      <c r="AI41" s="119">
        <f t="shared" si="11"/>
        <v>0</v>
      </c>
      <c r="AJ41" s="119">
        <f t="shared" si="12"/>
        <v>0</v>
      </c>
      <c r="AK41" s="792"/>
      <c r="AL41" s="1481"/>
    </row>
    <row r="42" spans="2:38" s="112" customFormat="1" x14ac:dyDescent="0.2">
      <c r="B42" s="132"/>
      <c r="C42" s="149"/>
      <c r="D42" s="49">
        <v>28</v>
      </c>
      <c r="E42" s="978" t="str">
        <f>+'Li O school'!E42</f>
        <v>school 28</v>
      </c>
      <c r="F42" s="978" t="str">
        <f>+'Li O school'!F42</f>
        <v>11AA</v>
      </c>
      <c r="G42" s="833">
        <f>'Li O school'!I42</f>
        <v>0</v>
      </c>
      <c r="H42" s="833">
        <f>'Li O school'!J42</f>
        <v>0</v>
      </c>
      <c r="I42" s="833">
        <f>'Li O school'!K42</f>
        <v>0</v>
      </c>
      <c r="J42" s="833">
        <f>'Li O school'!L42</f>
        <v>0</v>
      </c>
      <c r="K42" s="833">
        <f>'Li O school'!M42</f>
        <v>0</v>
      </c>
      <c r="L42" s="833">
        <f>'Li O school'!N42</f>
        <v>0</v>
      </c>
      <c r="M42" s="70"/>
      <c r="N42" s="67">
        <f>ROUND(G42*tab!F$26,2)</f>
        <v>0</v>
      </c>
      <c r="O42" s="67">
        <f>ROUND(H42*tab!G$26,2)</f>
        <v>0</v>
      </c>
      <c r="P42" s="67">
        <f>ROUND(I42*tab!H$26,2)</f>
        <v>0</v>
      </c>
      <c r="Q42" s="67">
        <f>ROUND(J42*tab!I$26,2)</f>
        <v>0</v>
      </c>
      <c r="R42" s="67">
        <f>ROUND(K42*tab!J$26,2)</f>
        <v>0</v>
      </c>
      <c r="S42" s="70"/>
      <c r="T42" s="119">
        <v>0</v>
      </c>
      <c r="U42" s="119">
        <f t="shared" si="13"/>
        <v>0</v>
      </c>
      <c r="V42" s="119">
        <f t="shared" si="13"/>
        <v>0</v>
      </c>
      <c r="W42" s="119">
        <f t="shared" si="6"/>
        <v>0</v>
      </c>
      <c r="X42" s="119">
        <f t="shared" si="7"/>
        <v>0</v>
      </c>
      <c r="Y42" s="70"/>
      <c r="Z42" s="67">
        <f>+G42*tab!F$30</f>
        <v>0</v>
      </c>
      <c r="AA42" s="67">
        <f>+H42*tab!G$30</f>
        <v>0</v>
      </c>
      <c r="AB42" s="67">
        <f>+I42*tab!H$30</f>
        <v>0</v>
      </c>
      <c r="AC42" s="67">
        <f>+J42*tab!I$30</f>
        <v>0</v>
      </c>
      <c r="AD42" s="67">
        <f>+K42*tab!J$30</f>
        <v>0</v>
      </c>
      <c r="AE42" s="70"/>
      <c r="AF42" s="562">
        <v>0</v>
      </c>
      <c r="AG42" s="119">
        <f t="shared" si="9"/>
        <v>0</v>
      </c>
      <c r="AH42" s="119">
        <f t="shared" si="10"/>
        <v>0</v>
      </c>
      <c r="AI42" s="119">
        <f t="shared" si="11"/>
        <v>0</v>
      </c>
      <c r="AJ42" s="119">
        <f t="shared" si="12"/>
        <v>0</v>
      </c>
      <c r="AK42" s="792"/>
      <c r="AL42" s="1481"/>
    </row>
    <row r="43" spans="2:38" s="112" customFormat="1" x14ac:dyDescent="0.2">
      <c r="B43" s="132"/>
      <c r="C43" s="149"/>
      <c r="D43" s="49">
        <v>29</v>
      </c>
      <c r="E43" s="978" t="str">
        <f>+'Li O school'!E43</f>
        <v>school 29</v>
      </c>
      <c r="F43" s="978" t="str">
        <f>+'Li O school'!F43</f>
        <v>11AA</v>
      </c>
      <c r="G43" s="833">
        <f>'Li O school'!I43</f>
        <v>0</v>
      </c>
      <c r="H43" s="833">
        <f>'Li O school'!J43</f>
        <v>0</v>
      </c>
      <c r="I43" s="833">
        <f>'Li O school'!K43</f>
        <v>0</v>
      </c>
      <c r="J43" s="833">
        <f>'Li O school'!L43</f>
        <v>0</v>
      </c>
      <c r="K43" s="833">
        <f>'Li O school'!M43</f>
        <v>0</v>
      </c>
      <c r="L43" s="833">
        <f>'Li O school'!N43</f>
        <v>0</v>
      </c>
      <c r="M43" s="70"/>
      <c r="N43" s="67">
        <f>ROUND(G43*tab!F$26,2)</f>
        <v>0</v>
      </c>
      <c r="O43" s="67">
        <f>ROUND(H43*tab!G$26,2)</f>
        <v>0</v>
      </c>
      <c r="P43" s="67">
        <f>ROUND(I43*tab!H$26,2)</f>
        <v>0</v>
      </c>
      <c r="Q43" s="67">
        <f>ROUND(J43*tab!I$26,2)</f>
        <v>0</v>
      </c>
      <c r="R43" s="67">
        <f>ROUND(K43*tab!J$26,2)</f>
        <v>0</v>
      </c>
      <c r="S43" s="70"/>
      <c r="T43" s="119">
        <v>0</v>
      </c>
      <c r="U43" s="119">
        <f t="shared" si="13"/>
        <v>0</v>
      </c>
      <c r="V43" s="119">
        <f t="shared" si="13"/>
        <v>0</v>
      </c>
      <c r="W43" s="119">
        <f t="shared" si="6"/>
        <v>0</v>
      </c>
      <c r="X43" s="119">
        <f t="shared" si="7"/>
        <v>0</v>
      </c>
      <c r="Y43" s="70"/>
      <c r="Z43" s="67">
        <f>+G43*tab!F$30</f>
        <v>0</v>
      </c>
      <c r="AA43" s="67">
        <f>+H43*tab!G$30</f>
        <v>0</v>
      </c>
      <c r="AB43" s="67">
        <f>+I43*tab!H$30</f>
        <v>0</v>
      </c>
      <c r="AC43" s="67">
        <f>+J43*tab!I$30</f>
        <v>0</v>
      </c>
      <c r="AD43" s="67">
        <f>+K43*tab!J$30</f>
        <v>0</v>
      </c>
      <c r="AE43" s="70"/>
      <c r="AF43" s="562">
        <v>0</v>
      </c>
      <c r="AG43" s="119">
        <f t="shared" si="9"/>
        <v>0</v>
      </c>
      <c r="AH43" s="119">
        <f t="shared" si="10"/>
        <v>0</v>
      </c>
      <c r="AI43" s="119">
        <f t="shared" si="11"/>
        <v>0</v>
      </c>
      <c r="AJ43" s="119">
        <f t="shared" si="12"/>
        <v>0</v>
      </c>
      <c r="AK43" s="792"/>
      <c r="AL43" s="1481"/>
    </row>
    <row r="44" spans="2:38" s="112" customFormat="1" x14ac:dyDescent="0.2">
      <c r="B44" s="132"/>
      <c r="C44" s="149"/>
      <c r="D44" s="49">
        <v>30</v>
      </c>
      <c r="E44" s="978" t="str">
        <f>+'Li O school'!E44</f>
        <v>school 30</v>
      </c>
      <c r="F44" s="978" t="str">
        <f>+'Li O school'!F44</f>
        <v>11AA</v>
      </c>
      <c r="G44" s="833">
        <f>'Li O school'!I44</f>
        <v>0</v>
      </c>
      <c r="H44" s="833">
        <f>'Li O school'!J44</f>
        <v>0</v>
      </c>
      <c r="I44" s="833">
        <f>'Li O school'!K44</f>
        <v>0</v>
      </c>
      <c r="J44" s="833">
        <f>'Li O school'!L44</f>
        <v>0</v>
      </c>
      <c r="K44" s="833">
        <f>'Li O school'!M44</f>
        <v>0</v>
      </c>
      <c r="L44" s="833">
        <f>'Li O school'!N44</f>
        <v>0</v>
      </c>
      <c r="M44" s="70"/>
      <c r="N44" s="67">
        <f>ROUND(G44*tab!F$26,2)</f>
        <v>0</v>
      </c>
      <c r="O44" s="67">
        <f>ROUND(H44*tab!G$26,2)</f>
        <v>0</v>
      </c>
      <c r="P44" s="67">
        <f>ROUND(I44*tab!H$26,2)</f>
        <v>0</v>
      </c>
      <c r="Q44" s="67">
        <f>ROUND(J44*tab!I$26,2)</f>
        <v>0</v>
      </c>
      <c r="R44" s="67">
        <f>ROUND(K44*tab!J$26,2)</f>
        <v>0</v>
      </c>
      <c r="S44" s="70"/>
      <c r="T44" s="119">
        <v>0</v>
      </c>
      <c r="U44" s="119">
        <f t="shared" si="13"/>
        <v>0</v>
      </c>
      <c r="V44" s="119">
        <f t="shared" si="13"/>
        <v>0</v>
      </c>
      <c r="W44" s="119">
        <f t="shared" si="6"/>
        <v>0</v>
      </c>
      <c r="X44" s="119">
        <f t="shared" si="7"/>
        <v>0</v>
      </c>
      <c r="Y44" s="70"/>
      <c r="Z44" s="67">
        <f>+G44*tab!F$30</f>
        <v>0</v>
      </c>
      <c r="AA44" s="67">
        <f>+H44*tab!G$30</f>
        <v>0</v>
      </c>
      <c r="AB44" s="67">
        <f>+I44*tab!H$30</f>
        <v>0</v>
      </c>
      <c r="AC44" s="67">
        <f>+J44*tab!I$30</f>
        <v>0</v>
      </c>
      <c r="AD44" s="67">
        <f>+K44*tab!J$30</f>
        <v>0</v>
      </c>
      <c r="AE44" s="70"/>
      <c r="AF44" s="562">
        <v>0</v>
      </c>
      <c r="AG44" s="119">
        <f t="shared" si="9"/>
        <v>0</v>
      </c>
      <c r="AH44" s="119">
        <f t="shared" si="10"/>
        <v>0</v>
      </c>
      <c r="AI44" s="119">
        <f t="shared" si="11"/>
        <v>0</v>
      </c>
      <c r="AJ44" s="119">
        <f t="shared" si="12"/>
        <v>0</v>
      </c>
      <c r="AK44" s="792"/>
      <c r="AL44" s="1481"/>
    </row>
    <row r="45" spans="2:38" s="112" customFormat="1" x14ac:dyDescent="0.2">
      <c r="B45" s="132"/>
      <c r="C45" s="149"/>
      <c r="D45" s="49">
        <v>31</v>
      </c>
      <c r="E45" s="978" t="str">
        <f>+'Li O school'!E45</f>
        <v>school 31</v>
      </c>
      <c r="F45" s="978" t="str">
        <f>+'Li O school'!F45</f>
        <v>11AA</v>
      </c>
      <c r="G45" s="833">
        <f>'Li O school'!I45</f>
        <v>0</v>
      </c>
      <c r="H45" s="833">
        <f>'Li O school'!J45</f>
        <v>0</v>
      </c>
      <c r="I45" s="833">
        <f>'Li O school'!K45</f>
        <v>0</v>
      </c>
      <c r="J45" s="833">
        <f>'Li O school'!L45</f>
        <v>0</v>
      </c>
      <c r="K45" s="833">
        <f>'Li O school'!M45</f>
        <v>0</v>
      </c>
      <c r="L45" s="833">
        <f>'Li O school'!N45</f>
        <v>0</v>
      </c>
      <c r="M45" s="70"/>
      <c r="N45" s="67">
        <f>ROUND(G45*tab!F$26,2)</f>
        <v>0</v>
      </c>
      <c r="O45" s="67">
        <f>ROUND(H45*tab!G$26,2)</f>
        <v>0</v>
      </c>
      <c r="P45" s="67">
        <f>ROUND(I45*tab!H$26,2)</f>
        <v>0</v>
      </c>
      <c r="Q45" s="67">
        <f>ROUND(J45*tab!I$26,2)</f>
        <v>0</v>
      </c>
      <c r="R45" s="67">
        <f>ROUND(K45*tab!J$26,2)</f>
        <v>0</v>
      </c>
      <c r="S45" s="70"/>
      <c r="T45" s="119">
        <v>0</v>
      </c>
      <c r="U45" s="119">
        <f t="shared" si="13"/>
        <v>0</v>
      </c>
      <c r="V45" s="119">
        <f t="shared" si="13"/>
        <v>0</v>
      </c>
      <c r="W45" s="119">
        <f t="shared" si="6"/>
        <v>0</v>
      </c>
      <c r="X45" s="119">
        <f t="shared" si="7"/>
        <v>0</v>
      </c>
      <c r="Y45" s="70"/>
      <c r="Z45" s="67">
        <f>+G45*tab!F$30</f>
        <v>0</v>
      </c>
      <c r="AA45" s="67">
        <f>+H45*tab!G$30</f>
        <v>0</v>
      </c>
      <c r="AB45" s="67">
        <f>+I45*tab!H$30</f>
        <v>0</v>
      </c>
      <c r="AC45" s="67">
        <f>+J45*tab!I$30</f>
        <v>0</v>
      </c>
      <c r="AD45" s="67">
        <f>+K45*tab!J$30</f>
        <v>0</v>
      </c>
      <c r="AE45" s="70"/>
      <c r="AF45" s="562">
        <v>0</v>
      </c>
      <c r="AG45" s="119">
        <f t="shared" si="9"/>
        <v>0</v>
      </c>
      <c r="AH45" s="119">
        <f t="shared" si="10"/>
        <v>0</v>
      </c>
      <c r="AI45" s="119">
        <f t="shared" si="11"/>
        <v>0</v>
      </c>
      <c r="AJ45" s="119">
        <f t="shared" si="12"/>
        <v>0</v>
      </c>
      <c r="AK45" s="792"/>
      <c r="AL45" s="1481"/>
    </row>
    <row r="46" spans="2:38" s="112" customFormat="1" x14ac:dyDescent="0.2">
      <c r="B46" s="132"/>
      <c r="C46" s="149"/>
      <c r="D46" s="49">
        <v>32</v>
      </c>
      <c r="E46" s="978" t="str">
        <f>+'Li O school'!E46</f>
        <v>school 32</v>
      </c>
      <c r="F46" s="978" t="str">
        <f>+'Li O school'!F46</f>
        <v>11AA</v>
      </c>
      <c r="G46" s="833">
        <f>'Li O school'!I46</f>
        <v>0</v>
      </c>
      <c r="H46" s="833">
        <f>'Li O school'!J46</f>
        <v>0</v>
      </c>
      <c r="I46" s="833">
        <f>'Li O school'!K46</f>
        <v>0</v>
      </c>
      <c r="J46" s="833">
        <f>'Li O school'!L46</f>
        <v>0</v>
      </c>
      <c r="K46" s="833">
        <f>'Li O school'!M46</f>
        <v>0</v>
      </c>
      <c r="L46" s="833">
        <f>'Li O school'!N46</f>
        <v>0</v>
      </c>
      <c r="M46" s="70"/>
      <c r="N46" s="67">
        <f>ROUND(G46*tab!F$26,2)</f>
        <v>0</v>
      </c>
      <c r="O46" s="67">
        <f>ROUND(H46*tab!G$26,2)</f>
        <v>0</v>
      </c>
      <c r="P46" s="67">
        <f>ROUND(I46*tab!H$26,2)</f>
        <v>0</v>
      </c>
      <c r="Q46" s="67">
        <f>ROUND(J46*tab!I$26,2)</f>
        <v>0</v>
      </c>
      <c r="R46" s="67">
        <f>ROUND(K46*tab!J$26,2)</f>
        <v>0</v>
      </c>
      <c r="S46" s="70"/>
      <c r="T46" s="119">
        <v>0</v>
      </c>
      <c r="U46" s="119">
        <f t="shared" si="13"/>
        <v>0</v>
      </c>
      <c r="V46" s="119">
        <f t="shared" si="13"/>
        <v>0</v>
      </c>
      <c r="W46" s="119">
        <f t="shared" si="6"/>
        <v>0</v>
      </c>
      <c r="X46" s="119">
        <f t="shared" si="7"/>
        <v>0</v>
      </c>
      <c r="Y46" s="70"/>
      <c r="Z46" s="67">
        <f>+G46*tab!F$30</f>
        <v>0</v>
      </c>
      <c r="AA46" s="67">
        <f>+H46*tab!G$30</f>
        <v>0</v>
      </c>
      <c r="AB46" s="67">
        <f>+I46*tab!H$30</f>
        <v>0</v>
      </c>
      <c r="AC46" s="67">
        <f>+J46*tab!I$30</f>
        <v>0</v>
      </c>
      <c r="AD46" s="67">
        <f>+K46*tab!J$30</f>
        <v>0</v>
      </c>
      <c r="AE46" s="70"/>
      <c r="AF46" s="562">
        <v>0</v>
      </c>
      <c r="AG46" s="119">
        <f t="shared" si="9"/>
        <v>0</v>
      </c>
      <c r="AH46" s="119">
        <f t="shared" si="10"/>
        <v>0</v>
      </c>
      <c r="AI46" s="119">
        <f t="shared" si="11"/>
        <v>0</v>
      </c>
      <c r="AJ46" s="119">
        <f t="shared" si="12"/>
        <v>0</v>
      </c>
      <c r="AK46" s="792"/>
      <c r="AL46" s="1481"/>
    </row>
    <row r="47" spans="2:38" s="112" customFormat="1" x14ac:dyDescent="0.2">
      <c r="B47" s="132"/>
      <c r="C47" s="149"/>
      <c r="D47" s="49">
        <v>33</v>
      </c>
      <c r="E47" s="978" t="str">
        <f>+'Li O school'!E47</f>
        <v>school 33</v>
      </c>
      <c r="F47" s="978" t="str">
        <f>+'Li O school'!F47</f>
        <v>11AA</v>
      </c>
      <c r="G47" s="833">
        <f>'Li O school'!I47</f>
        <v>0</v>
      </c>
      <c r="H47" s="833">
        <f>'Li O school'!J47</f>
        <v>0</v>
      </c>
      <c r="I47" s="833">
        <f>'Li O school'!K47</f>
        <v>0</v>
      </c>
      <c r="J47" s="833">
        <f>'Li O school'!L47</f>
        <v>0</v>
      </c>
      <c r="K47" s="833">
        <f>'Li O school'!M47</f>
        <v>0</v>
      </c>
      <c r="L47" s="833">
        <f>'Li O school'!N47</f>
        <v>0</v>
      </c>
      <c r="M47" s="70"/>
      <c r="N47" s="67">
        <f>ROUND(G47*tab!F$26,2)</f>
        <v>0</v>
      </c>
      <c r="O47" s="67">
        <f>ROUND(H47*tab!G$26,2)</f>
        <v>0</v>
      </c>
      <c r="P47" s="67">
        <f>ROUND(I47*tab!H$26,2)</f>
        <v>0</v>
      </c>
      <c r="Q47" s="67">
        <f>ROUND(J47*tab!I$26,2)</f>
        <v>0</v>
      </c>
      <c r="R47" s="67">
        <f>ROUND(K47*tab!J$26,2)</f>
        <v>0</v>
      </c>
      <c r="S47" s="70"/>
      <c r="T47" s="119">
        <v>0</v>
      </c>
      <c r="U47" s="119">
        <f t="shared" si="13"/>
        <v>0</v>
      </c>
      <c r="V47" s="119">
        <f t="shared" si="13"/>
        <v>0</v>
      </c>
      <c r="W47" s="119">
        <f t="shared" si="6"/>
        <v>0</v>
      </c>
      <c r="X47" s="119">
        <f t="shared" si="7"/>
        <v>0</v>
      </c>
      <c r="Y47" s="70"/>
      <c r="Z47" s="67">
        <f>+G47*tab!F$30</f>
        <v>0</v>
      </c>
      <c r="AA47" s="67">
        <f>+H47*tab!G$30</f>
        <v>0</v>
      </c>
      <c r="AB47" s="67">
        <f>+I47*tab!H$30</f>
        <v>0</v>
      </c>
      <c r="AC47" s="67">
        <f>+J47*tab!I$30</f>
        <v>0</v>
      </c>
      <c r="AD47" s="67">
        <f>+K47*tab!J$30</f>
        <v>0</v>
      </c>
      <c r="AE47" s="70"/>
      <c r="AF47" s="562">
        <v>0</v>
      </c>
      <c r="AG47" s="119">
        <f t="shared" si="9"/>
        <v>0</v>
      </c>
      <c r="AH47" s="119">
        <f t="shared" si="10"/>
        <v>0</v>
      </c>
      <c r="AI47" s="119">
        <f t="shared" si="11"/>
        <v>0</v>
      </c>
      <c r="AJ47" s="119">
        <f t="shared" si="12"/>
        <v>0</v>
      </c>
      <c r="AK47" s="792"/>
      <c r="AL47" s="1481"/>
    </row>
    <row r="48" spans="2:38" s="112" customFormat="1" x14ac:dyDescent="0.2">
      <c r="B48" s="132"/>
      <c r="C48" s="149"/>
      <c r="D48" s="49">
        <v>34</v>
      </c>
      <c r="E48" s="978" t="str">
        <f>+'Li O school'!E48</f>
        <v>school 34</v>
      </c>
      <c r="F48" s="978" t="str">
        <f>+'Li O school'!F48</f>
        <v>11AA</v>
      </c>
      <c r="G48" s="833">
        <f>'Li O school'!I48</f>
        <v>0</v>
      </c>
      <c r="H48" s="833">
        <f>'Li O school'!J48</f>
        <v>0</v>
      </c>
      <c r="I48" s="833">
        <f>'Li O school'!K48</f>
        <v>0</v>
      </c>
      <c r="J48" s="833">
        <f>'Li O school'!L48</f>
        <v>0</v>
      </c>
      <c r="K48" s="833">
        <f>'Li O school'!M48</f>
        <v>0</v>
      </c>
      <c r="L48" s="833">
        <f>'Li O school'!N48</f>
        <v>0</v>
      </c>
      <c r="M48" s="70"/>
      <c r="N48" s="67">
        <f>ROUND(G48*tab!F$26,2)</f>
        <v>0</v>
      </c>
      <c r="O48" s="67">
        <f>ROUND(H48*tab!G$26,2)</f>
        <v>0</v>
      </c>
      <c r="P48" s="67">
        <f>ROUND(I48*tab!H$26,2)</f>
        <v>0</v>
      </c>
      <c r="Q48" s="67">
        <f>ROUND(J48*tab!I$26,2)</f>
        <v>0</v>
      </c>
      <c r="R48" s="67">
        <f>ROUND(K48*tab!J$26,2)</f>
        <v>0</v>
      </c>
      <c r="S48" s="70"/>
      <c r="T48" s="119">
        <v>0</v>
      </c>
      <c r="U48" s="119">
        <f t="shared" si="13"/>
        <v>0</v>
      </c>
      <c r="V48" s="119">
        <f t="shared" si="13"/>
        <v>0</v>
      </c>
      <c r="W48" s="119">
        <f t="shared" si="6"/>
        <v>0</v>
      </c>
      <c r="X48" s="119">
        <f t="shared" si="7"/>
        <v>0</v>
      </c>
      <c r="Y48" s="70"/>
      <c r="Z48" s="67">
        <f>+G48*tab!F$30</f>
        <v>0</v>
      </c>
      <c r="AA48" s="67">
        <f>+H48*tab!G$30</f>
        <v>0</v>
      </c>
      <c r="AB48" s="67">
        <f>+I48*tab!H$30</f>
        <v>0</v>
      </c>
      <c r="AC48" s="67">
        <f>+J48*tab!I$30</f>
        <v>0</v>
      </c>
      <c r="AD48" s="67">
        <f>+K48*tab!J$30</f>
        <v>0</v>
      </c>
      <c r="AE48" s="70"/>
      <c r="AF48" s="562">
        <v>0</v>
      </c>
      <c r="AG48" s="119">
        <f t="shared" si="9"/>
        <v>0</v>
      </c>
      <c r="AH48" s="119">
        <f t="shared" si="10"/>
        <v>0</v>
      </c>
      <c r="AI48" s="119">
        <f t="shared" si="11"/>
        <v>0</v>
      </c>
      <c r="AJ48" s="119">
        <f t="shared" si="12"/>
        <v>0</v>
      </c>
      <c r="AK48" s="792"/>
      <c r="AL48" s="1481"/>
    </row>
    <row r="49" spans="2:38" s="112" customFormat="1" x14ac:dyDescent="0.2">
      <c r="B49" s="132"/>
      <c r="C49" s="149"/>
      <c r="D49" s="49">
        <v>35</v>
      </c>
      <c r="E49" s="978" t="str">
        <f>+'Li O school'!E49</f>
        <v>school 35</v>
      </c>
      <c r="F49" s="978" t="str">
        <f>+'Li O school'!F49</f>
        <v>11AA</v>
      </c>
      <c r="G49" s="833">
        <f>'Li O school'!I49</f>
        <v>0</v>
      </c>
      <c r="H49" s="833">
        <f>'Li O school'!J49</f>
        <v>0</v>
      </c>
      <c r="I49" s="833">
        <f>'Li O school'!K49</f>
        <v>0</v>
      </c>
      <c r="J49" s="833">
        <f>'Li O school'!L49</f>
        <v>0</v>
      </c>
      <c r="K49" s="833">
        <f>'Li O school'!M49</f>
        <v>0</v>
      </c>
      <c r="L49" s="833">
        <f>'Li O school'!N49</f>
        <v>0</v>
      </c>
      <c r="M49" s="70"/>
      <c r="N49" s="67">
        <f>ROUND(G49*tab!F$26,2)</f>
        <v>0</v>
      </c>
      <c r="O49" s="67">
        <f>ROUND(H49*tab!G$26,2)</f>
        <v>0</v>
      </c>
      <c r="P49" s="67">
        <f>ROUND(I49*tab!H$26,2)</f>
        <v>0</v>
      </c>
      <c r="Q49" s="67">
        <f>ROUND(J49*tab!I$26,2)</f>
        <v>0</v>
      </c>
      <c r="R49" s="67">
        <f>ROUND(K49*tab!J$26,2)</f>
        <v>0</v>
      </c>
      <c r="S49" s="70"/>
      <c r="T49" s="119">
        <v>0</v>
      </c>
      <c r="U49" s="119">
        <f t="shared" si="13"/>
        <v>0</v>
      </c>
      <c r="V49" s="119">
        <f t="shared" si="13"/>
        <v>0</v>
      </c>
      <c r="W49" s="119">
        <f t="shared" si="6"/>
        <v>0</v>
      </c>
      <c r="X49" s="119">
        <f t="shared" si="7"/>
        <v>0</v>
      </c>
      <c r="Y49" s="70"/>
      <c r="Z49" s="67">
        <f>+G49*tab!F$30</f>
        <v>0</v>
      </c>
      <c r="AA49" s="67">
        <f>+H49*tab!G$30</f>
        <v>0</v>
      </c>
      <c r="AB49" s="67">
        <f>+I49*tab!H$30</f>
        <v>0</v>
      </c>
      <c r="AC49" s="67">
        <f>+J49*tab!I$30</f>
        <v>0</v>
      </c>
      <c r="AD49" s="67">
        <f>+K49*tab!J$30</f>
        <v>0</v>
      </c>
      <c r="AE49" s="70"/>
      <c r="AF49" s="562">
        <v>0</v>
      </c>
      <c r="AG49" s="119">
        <f t="shared" si="9"/>
        <v>0</v>
      </c>
      <c r="AH49" s="119">
        <f t="shared" si="10"/>
        <v>0</v>
      </c>
      <c r="AI49" s="119">
        <f t="shared" si="11"/>
        <v>0</v>
      </c>
      <c r="AJ49" s="119">
        <f t="shared" si="12"/>
        <v>0</v>
      </c>
      <c r="AK49" s="792"/>
      <c r="AL49" s="1481"/>
    </row>
    <row r="50" spans="2:38" s="112" customFormat="1" x14ac:dyDescent="0.2">
      <c r="B50" s="132"/>
      <c r="C50" s="149"/>
      <c r="D50" s="49">
        <v>36</v>
      </c>
      <c r="E50" s="978" t="str">
        <f>+'Li O school'!E50</f>
        <v>school 36</v>
      </c>
      <c r="F50" s="978" t="str">
        <f>+'Li O school'!F50</f>
        <v>11AA</v>
      </c>
      <c r="G50" s="833">
        <f>'Li O school'!I50</f>
        <v>0</v>
      </c>
      <c r="H50" s="833">
        <f>'Li O school'!J50</f>
        <v>0</v>
      </c>
      <c r="I50" s="833">
        <f>'Li O school'!K50</f>
        <v>0</v>
      </c>
      <c r="J50" s="833">
        <f>'Li O school'!L50</f>
        <v>0</v>
      </c>
      <c r="K50" s="833">
        <f>'Li O school'!M50</f>
        <v>0</v>
      </c>
      <c r="L50" s="833">
        <f>'Li O school'!N50</f>
        <v>0</v>
      </c>
      <c r="M50" s="70"/>
      <c r="N50" s="67">
        <f>ROUND(G50*tab!F$26,2)</f>
        <v>0</v>
      </c>
      <c r="O50" s="67">
        <f>ROUND(H50*tab!G$26,2)</f>
        <v>0</v>
      </c>
      <c r="P50" s="67">
        <f>ROUND(I50*tab!H$26,2)</f>
        <v>0</v>
      </c>
      <c r="Q50" s="67">
        <f>ROUND(J50*tab!I$26,2)</f>
        <v>0</v>
      </c>
      <c r="R50" s="67">
        <f>ROUND(K50*tab!J$26,2)</f>
        <v>0</v>
      </c>
      <c r="S50" s="70"/>
      <c r="T50" s="119">
        <v>0</v>
      </c>
      <c r="U50" s="119">
        <f t="shared" si="13"/>
        <v>0</v>
      </c>
      <c r="V50" s="119">
        <f t="shared" si="13"/>
        <v>0</v>
      </c>
      <c r="W50" s="119">
        <f t="shared" si="6"/>
        <v>0</v>
      </c>
      <c r="X50" s="119">
        <f t="shared" si="7"/>
        <v>0</v>
      </c>
      <c r="Y50" s="70"/>
      <c r="Z50" s="67">
        <f>+G50*tab!F$30</f>
        <v>0</v>
      </c>
      <c r="AA50" s="67">
        <f>+H50*tab!G$30</f>
        <v>0</v>
      </c>
      <c r="AB50" s="67">
        <f>+I50*tab!H$30</f>
        <v>0</v>
      </c>
      <c r="AC50" s="67">
        <f>+J50*tab!I$30</f>
        <v>0</v>
      </c>
      <c r="AD50" s="67">
        <f>+K50*tab!J$30</f>
        <v>0</v>
      </c>
      <c r="AE50" s="70"/>
      <c r="AF50" s="562">
        <v>0</v>
      </c>
      <c r="AG50" s="119">
        <f t="shared" si="9"/>
        <v>0</v>
      </c>
      <c r="AH50" s="119">
        <f t="shared" si="10"/>
        <v>0</v>
      </c>
      <c r="AI50" s="119">
        <f t="shared" si="11"/>
        <v>0</v>
      </c>
      <c r="AJ50" s="119">
        <f t="shared" si="12"/>
        <v>0</v>
      </c>
      <c r="AK50" s="792"/>
      <c r="AL50" s="1481"/>
    </row>
    <row r="51" spans="2:38" s="112" customFormat="1" x14ac:dyDescent="0.2">
      <c r="B51" s="132"/>
      <c r="C51" s="149"/>
      <c r="D51" s="49">
        <v>37</v>
      </c>
      <c r="E51" s="978" t="str">
        <f>+'Li O school'!E51</f>
        <v>school 37</v>
      </c>
      <c r="F51" s="978" t="str">
        <f>+'Li O school'!F51</f>
        <v>11AA</v>
      </c>
      <c r="G51" s="833">
        <f>'Li O school'!I51</f>
        <v>0</v>
      </c>
      <c r="H51" s="833">
        <f>'Li O school'!J51</f>
        <v>0</v>
      </c>
      <c r="I51" s="833">
        <f>'Li O school'!K51</f>
        <v>0</v>
      </c>
      <c r="J51" s="833">
        <f>'Li O school'!L51</f>
        <v>0</v>
      </c>
      <c r="K51" s="833">
        <f>'Li O school'!M51</f>
        <v>0</v>
      </c>
      <c r="L51" s="833">
        <f>'Li O school'!N51</f>
        <v>0</v>
      </c>
      <c r="M51" s="70"/>
      <c r="N51" s="67">
        <f>ROUND(G51*tab!F$26,2)</f>
        <v>0</v>
      </c>
      <c r="O51" s="67">
        <f>ROUND(H51*tab!G$26,2)</f>
        <v>0</v>
      </c>
      <c r="P51" s="67">
        <f>ROUND(I51*tab!H$26,2)</f>
        <v>0</v>
      </c>
      <c r="Q51" s="67">
        <f>ROUND(J51*tab!I$26,2)</f>
        <v>0</v>
      </c>
      <c r="R51" s="67">
        <f>ROUND(K51*tab!J$26,2)</f>
        <v>0</v>
      </c>
      <c r="S51" s="70"/>
      <c r="T51" s="119">
        <v>0</v>
      </c>
      <c r="U51" s="119">
        <f t="shared" si="13"/>
        <v>0</v>
      </c>
      <c r="V51" s="119">
        <f t="shared" si="13"/>
        <v>0</v>
      </c>
      <c r="W51" s="119">
        <f t="shared" si="6"/>
        <v>0</v>
      </c>
      <c r="X51" s="119">
        <f t="shared" si="7"/>
        <v>0</v>
      </c>
      <c r="Y51" s="70"/>
      <c r="Z51" s="67">
        <f>+G51*tab!F$30</f>
        <v>0</v>
      </c>
      <c r="AA51" s="67">
        <f>+H51*tab!G$30</f>
        <v>0</v>
      </c>
      <c r="AB51" s="67">
        <f>+I51*tab!H$30</f>
        <v>0</v>
      </c>
      <c r="AC51" s="67">
        <f>+J51*tab!I$30</f>
        <v>0</v>
      </c>
      <c r="AD51" s="67">
        <f>+K51*tab!J$30</f>
        <v>0</v>
      </c>
      <c r="AE51" s="70"/>
      <c r="AF51" s="562">
        <v>0</v>
      </c>
      <c r="AG51" s="119">
        <f t="shared" si="9"/>
        <v>0</v>
      </c>
      <c r="AH51" s="119">
        <f t="shared" si="10"/>
        <v>0</v>
      </c>
      <c r="AI51" s="119">
        <f t="shared" si="11"/>
        <v>0</v>
      </c>
      <c r="AJ51" s="119">
        <f t="shared" si="12"/>
        <v>0</v>
      </c>
      <c r="AK51" s="792"/>
      <c r="AL51" s="1481"/>
    </row>
    <row r="52" spans="2:38" s="112" customFormat="1" x14ac:dyDescent="0.2">
      <c r="B52" s="132"/>
      <c r="C52" s="149"/>
      <c r="D52" s="49">
        <v>38</v>
      </c>
      <c r="E52" s="978" t="str">
        <f>+'Li O school'!E52</f>
        <v>school 38</v>
      </c>
      <c r="F52" s="978" t="str">
        <f>+'Li O school'!F52</f>
        <v>11AA</v>
      </c>
      <c r="G52" s="833">
        <f>'Li O school'!I52</f>
        <v>0</v>
      </c>
      <c r="H52" s="833">
        <f>'Li O school'!J52</f>
        <v>0</v>
      </c>
      <c r="I52" s="833">
        <f>'Li O school'!K52</f>
        <v>0</v>
      </c>
      <c r="J52" s="833">
        <f>'Li O school'!L52</f>
        <v>0</v>
      </c>
      <c r="K52" s="833">
        <f>'Li O school'!M52</f>
        <v>0</v>
      </c>
      <c r="L52" s="833">
        <f>'Li O school'!N52</f>
        <v>0</v>
      </c>
      <c r="M52" s="70"/>
      <c r="N52" s="67">
        <f>ROUND(G52*tab!F$26,2)</f>
        <v>0</v>
      </c>
      <c r="O52" s="67">
        <f>ROUND(H52*tab!G$26,2)</f>
        <v>0</v>
      </c>
      <c r="P52" s="67">
        <f>ROUND(I52*tab!H$26,2)</f>
        <v>0</v>
      </c>
      <c r="Q52" s="67">
        <f>ROUND(J52*tab!I$26,2)</f>
        <v>0</v>
      </c>
      <c r="R52" s="67">
        <f>ROUND(K52*tab!J$26,2)</f>
        <v>0</v>
      </c>
      <c r="S52" s="70"/>
      <c r="T52" s="119">
        <v>0</v>
      </c>
      <c r="U52" s="119">
        <f t="shared" si="13"/>
        <v>0</v>
      </c>
      <c r="V52" s="119">
        <f t="shared" si="13"/>
        <v>0</v>
      </c>
      <c r="W52" s="119">
        <f t="shared" si="6"/>
        <v>0</v>
      </c>
      <c r="X52" s="119">
        <f t="shared" si="7"/>
        <v>0</v>
      </c>
      <c r="Y52" s="70"/>
      <c r="Z52" s="67">
        <f>+G52*tab!F$30</f>
        <v>0</v>
      </c>
      <c r="AA52" s="67">
        <f>+H52*tab!G$30</f>
        <v>0</v>
      </c>
      <c r="AB52" s="67">
        <f>+I52*tab!H$30</f>
        <v>0</v>
      </c>
      <c r="AC52" s="67">
        <f>+J52*tab!I$30</f>
        <v>0</v>
      </c>
      <c r="AD52" s="67">
        <f>+K52*tab!J$30</f>
        <v>0</v>
      </c>
      <c r="AE52" s="70"/>
      <c r="AF52" s="562">
        <v>0</v>
      </c>
      <c r="AG52" s="119">
        <f t="shared" si="9"/>
        <v>0</v>
      </c>
      <c r="AH52" s="119">
        <f t="shared" si="10"/>
        <v>0</v>
      </c>
      <c r="AI52" s="119">
        <f t="shared" si="11"/>
        <v>0</v>
      </c>
      <c r="AJ52" s="119">
        <f t="shared" si="12"/>
        <v>0</v>
      </c>
      <c r="AK52" s="792"/>
      <c r="AL52" s="1481"/>
    </row>
    <row r="53" spans="2:38" s="112" customFormat="1" x14ac:dyDescent="0.2">
      <c r="B53" s="132"/>
      <c r="C53" s="149"/>
      <c r="D53" s="49">
        <v>39</v>
      </c>
      <c r="E53" s="978" t="str">
        <f>+'Li O school'!E53</f>
        <v>school 39</v>
      </c>
      <c r="F53" s="978" t="str">
        <f>+'Li O school'!F53</f>
        <v>11AA</v>
      </c>
      <c r="G53" s="833">
        <f>'Li O school'!I53</f>
        <v>0</v>
      </c>
      <c r="H53" s="833">
        <f>'Li O school'!J53</f>
        <v>0</v>
      </c>
      <c r="I53" s="833">
        <f>'Li O school'!K53</f>
        <v>0</v>
      </c>
      <c r="J53" s="833">
        <f>'Li O school'!L53</f>
        <v>0</v>
      </c>
      <c r="K53" s="833">
        <f>'Li O school'!M53</f>
        <v>0</v>
      </c>
      <c r="L53" s="833">
        <f>'Li O school'!N53</f>
        <v>0</v>
      </c>
      <c r="M53" s="70"/>
      <c r="N53" s="67">
        <f>ROUND(G53*tab!F$26,2)</f>
        <v>0</v>
      </c>
      <c r="O53" s="67">
        <f>ROUND(H53*tab!G$26,2)</f>
        <v>0</v>
      </c>
      <c r="P53" s="67">
        <f>ROUND(I53*tab!H$26,2)</f>
        <v>0</v>
      </c>
      <c r="Q53" s="67">
        <f>ROUND(J53*tab!I$26,2)</f>
        <v>0</v>
      </c>
      <c r="R53" s="67">
        <f>ROUND(K53*tab!J$26,2)</f>
        <v>0</v>
      </c>
      <c r="S53" s="70"/>
      <c r="T53" s="119">
        <v>0</v>
      </c>
      <c r="U53" s="119">
        <f t="shared" si="13"/>
        <v>0</v>
      </c>
      <c r="V53" s="119">
        <f t="shared" si="13"/>
        <v>0</v>
      </c>
      <c r="W53" s="119">
        <f t="shared" si="6"/>
        <v>0</v>
      </c>
      <c r="X53" s="119">
        <f t="shared" si="7"/>
        <v>0</v>
      </c>
      <c r="Y53" s="70"/>
      <c r="Z53" s="67">
        <f>+G53*tab!F$30</f>
        <v>0</v>
      </c>
      <c r="AA53" s="67">
        <f>+H53*tab!G$30</f>
        <v>0</v>
      </c>
      <c r="AB53" s="67">
        <f>+I53*tab!H$30</f>
        <v>0</v>
      </c>
      <c r="AC53" s="67">
        <f>+J53*tab!I$30</f>
        <v>0</v>
      </c>
      <c r="AD53" s="67">
        <f>+K53*tab!J$30</f>
        <v>0</v>
      </c>
      <c r="AE53" s="70"/>
      <c r="AF53" s="562">
        <v>0</v>
      </c>
      <c r="AG53" s="119">
        <f t="shared" si="9"/>
        <v>0</v>
      </c>
      <c r="AH53" s="119">
        <f t="shared" si="10"/>
        <v>0</v>
      </c>
      <c r="AI53" s="119">
        <f t="shared" si="11"/>
        <v>0</v>
      </c>
      <c r="AJ53" s="119">
        <f t="shared" si="12"/>
        <v>0</v>
      </c>
      <c r="AK53" s="792"/>
      <c r="AL53" s="1481"/>
    </row>
    <row r="54" spans="2:38" s="112" customFormat="1" x14ac:dyDescent="0.2">
      <c r="B54" s="132"/>
      <c r="C54" s="149"/>
      <c r="D54" s="49">
        <v>40</v>
      </c>
      <c r="E54" s="978" t="str">
        <f>+'Li O school'!E54</f>
        <v>school 40</v>
      </c>
      <c r="F54" s="978" t="str">
        <f>+'Li O school'!F54</f>
        <v>11AA</v>
      </c>
      <c r="G54" s="833">
        <f>'Li O school'!I54</f>
        <v>0</v>
      </c>
      <c r="H54" s="833">
        <f>'Li O school'!J54</f>
        <v>0</v>
      </c>
      <c r="I54" s="833">
        <f>'Li O school'!K54</f>
        <v>0</v>
      </c>
      <c r="J54" s="833">
        <f>'Li O school'!L54</f>
        <v>0</v>
      </c>
      <c r="K54" s="833">
        <f>'Li O school'!M54</f>
        <v>0</v>
      </c>
      <c r="L54" s="833">
        <f>'Li O school'!N54</f>
        <v>0</v>
      </c>
      <c r="M54" s="70"/>
      <c r="N54" s="67">
        <f>ROUND(G54*tab!F$26,2)</f>
        <v>0</v>
      </c>
      <c r="O54" s="67">
        <f>ROUND(H54*tab!G$26,2)</f>
        <v>0</v>
      </c>
      <c r="P54" s="67">
        <f>ROUND(I54*tab!H$26,2)</f>
        <v>0</v>
      </c>
      <c r="Q54" s="67">
        <f>ROUND(J54*tab!I$26,2)</f>
        <v>0</v>
      </c>
      <c r="R54" s="67">
        <f>ROUND(K54*tab!J$26,2)</f>
        <v>0</v>
      </c>
      <c r="S54" s="70"/>
      <c r="T54" s="119">
        <v>0</v>
      </c>
      <c r="U54" s="119">
        <f t="shared" si="13"/>
        <v>0</v>
      </c>
      <c r="V54" s="119">
        <f t="shared" si="13"/>
        <v>0</v>
      </c>
      <c r="W54" s="119">
        <f t="shared" si="6"/>
        <v>0</v>
      </c>
      <c r="X54" s="119">
        <f t="shared" si="7"/>
        <v>0</v>
      </c>
      <c r="Y54" s="70"/>
      <c r="Z54" s="67">
        <f>+G54*tab!F$30</f>
        <v>0</v>
      </c>
      <c r="AA54" s="67">
        <f>+H54*tab!G$30</f>
        <v>0</v>
      </c>
      <c r="AB54" s="67">
        <f>+I54*tab!H$30</f>
        <v>0</v>
      </c>
      <c r="AC54" s="67">
        <f>+J54*tab!I$30</f>
        <v>0</v>
      </c>
      <c r="AD54" s="67">
        <f>+K54*tab!J$30</f>
        <v>0</v>
      </c>
      <c r="AE54" s="70"/>
      <c r="AF54" s="562">
        <v>0</v>
      </c>
      <c r="AG54" s="119">
        <f t="shared" si="9"/>
        <v>0</v>
      </c>
      <c r="AH54" s="119">
        <f t="shared" si="10"/>
        <v>0</v>
      </c>
      <c r="AI54" s="119">
        <f t="shared" si="11"/>
        <v>0</v>
      </c>
      <c r="AJ54" s="119">
        <f t="shared" si="12"/>
        <v>0</v>
      </c>
      <c r="AK54" s="792"/>
      <c r="AL54" s="1481"/>
    </row>
    <row r="55" spans="2:38" s="112" customFormat="1" x14ac:dyDescent="0.2">
      <c r="B55" s="132"/>
      <c r="C55" s="149"/>
      <c r="D55" s="49">
        <v>41</v>
      </c>
      <c r="E55" s="978" t="str">
        <f>+'Li O school'!E55</f>
        <v>school 41</v>
      </c>
      <c r="F55" s="978" t="str">
        <f>+'Li O school'!F55</f>
        <v>11AA</v>
      </c>
      <c r="G55" s="833">
        <f>'Li O school'!I55</f>
        <v>0</v>
      </c>
      <c r="H55" s="833">
        <f>'Li O school'!J55</f>
        <v>0</v>
      </c>
      <c r="I55" s="833">
        <f>'Li O school'!K55</f>
        <v>0</v>
      </c>
      <c r="J55" s="833">
        <f>'Li O school'!L55</f>
        <v>0</v>
      </c>
      <c r="K55" s="833">
        <f>'Li O school'!M55</f>
        <v>0</v>
      </c>
      <c r="L55" s="833">
        <f>'Li O school'!N55</f>
        <v>0</v>
      </c>
      <c r="M55" s="70"/>
      <c r="N55" s="67">
        <f>ROUND(G55*tab!F$26,2)</f>
        <v>0</v>
      </c>
      <c r="O55" s="67">
        <f>ROUND(H55*tab!G$26,2)</f>
        <v>0</v>
      </c>
      <c r="P55" s="67">
        <f>ROUND(I55*tab!H$26,2)</f>
        <v>0</v>
      </c>
      <c r="Q55" s="67">
        <f>ROUND(J55*tab!I$26,2)</f>
        <v>0</v>
      </c>
      <c r="R55" s="67">
        <f>ROUND(K55*tab!J$26,2)</f>
        <v>0</v>
      </c>
      <c r="S55" s="70"/>
      <c r="T55" s="119">
        <v>0</v>
      </c>
      <c r="U55" s="119">
        <f t="shared" ref="U55:V74" si="14">T55</f>
        <v>0</v>
      </c>
      <c r="V55" s="119">
        <f t="shared" si="14"/>
        <v>0</v>
      </c>
      <c r="W55" s="119">
        <f t="shared" si="6"/>
        <v>0</v>
      </c>
      <c r="X55" s="119">
        <f t="shared" si="7"/>
        <v>0</v>
      </c>
      <c r="Y55" s="70"/>
      <c r="Z55" s="67">
        <f>+G55*tab!F$30</f>
        <v>0</v>
      </c>
      <c r="AA55" s="67">
        <f>+H55*tab!G$30</f>
        <v>0</v>
      </c>
      <c r="AB55" s="67">
        <f>+I55*tab!H$30</f>
        <v>0</v>
      </c>
      <c r="AC55" s="67">
        <f>+J55*tab!I$30</f>
        <v>0</v>
      </c>
      <c r="AD55" s="67">
        <f>+K55*tab!J$30</f>
        <v>0</v>
      </c>
      <c r="AE55" s="70"/>
      <c r="AF55" s="562">
        <v>0</v>
      </c>
      <c r="AG55" s="119">
        <f t="shared" si="9"/>
        <v>0</v>
      </c>
      <c r="AH55" s="119">
        <f t="shared" si="10"/>
        <v>0</v>
      </c>
      <c r="AI55" s="119">
        <f t="shared" si="11"/>
        <v>0</v>
      </c>
      <c r="AJ55" s="119">
        <f t="shared" si="12"/>
        <v>0</v>
      </c>
      <c r="AK55" s="792"/>
      <c r="AL55" s="1481"/>
    </row>
    <row r="56" spans="2:38" s="112" customFormat="1" x14ac:dyDescent="0.2">
      <c r="B56" s="132"/>
      <c r="C56" s="149"/>
      <c r="D56" s="49">
        <v>42</v>
      </c>
      <c r="E56" s="978" t="str">
        <f>+'Li O school'!E56</f>
        <v>school 42</v>
      </c>
      <c r="F56" s="978" t="str">
        <f>+'Li O school'!F56</f>
        <v>11AA</v>
      </c>
      <c r="G56" s="833">
        <f>'Li O school'!I56</f>
        <v>0</v>
      </c>
      <c r="H56" s="833">
        <f>'Li O school'!J56</f>
        <v>0</v>
      </c>
      <c r="I56" s="833">
        <f>'Li O school'!K56</f>
        <v>0</v>
      </c>
      <c r="J56" s="833">
        <f>'Li O school'!L56</f>
        <v>0</v>
      </c>
      <c r="K56" s="833">
        <f>'Li O school'!M56</f>
        <v>0</v>
      </c>
      <c r="L56" s="833">
        <f>'Li O school'!N56</f>
        <v>0</v>
      </c>
      <c r="M56" s="70"/>
      <c r="N56" s="67">
        <f>ROUND(G56*tab!F$26,2)</f>
        <v>0</v>
      </c>
      <c r="O56" s="67">
        <f>ROUND(H56*tab!G$26,2)</f>
        <v>0</v>
      </c>
      <c r="P56" s="67">
        <f>ROUND(I56*tab!H$26,2)</f>
        <v>0</v>
      </c>
      <c r="Q56" s="67">
        <f>ROUND(J56*tab!I$26,2)</f>
        <v>0</v>
      </c>
      <c r="R56" s="67">
        <f>ROUND(K56*tab!J$26,2)</f>
        <v>0</v>
      </c>
      <c r="S56" s="70"/>
      <c r="T56" s="119">
        <v>0</v>
      </c>
      <c r="U56" s="119">
        <f t="shared" si="14"/>
        <v>0</v>
      </c>
      <c r="V56" s="119">
        <f t="shared" si="14"/>
        <v>0</v>
      </c>
      <c r="W56" s="119">
        <f t="shared" si="6"/>
        <v>0</v>
      </c>
      <c r="X56" s="119">
        <f t="shared" si="7"/>
        <v>0</v>
      </c>
      <c r="Y56" s="70"/>
      <c r="Z56" s="67">
        <f>+G56*tab!F$30</f>
        <v>0</v>
      </c>
      <c r="AA56" s="67">
        <f>+H56*tab!G$30</f>
        <v>0</v>
      </c>
      <c r="AB56" s="67">
        <f>+I56*tab!H$30</f>
        <v>0</v>
      </c>
      <c r="AC56" s="67">
        <f>+J56*tab!I$30</f>
        <v>0</v>
      </c>
      <c r="AD56" s="67">
        <f>+K56*tab!J$30</f>
        <v>0</v>
      </c>
      <c r="AE56" s="70"/>
      <c r="AF56" s="562">
        <v>0</v>
      </c>
      <c r="AG56" s="119">
        <f t="shared" si="9"/>
        <v>0</v>
      </c>
      <c r="AH56" s="119">
        <f t="shared" si="10"/>
        <v>0</v>
      </c>
      <c r="AI56" s="119">
        <f t="shared" si="11"/>
        <v>0</v>
      </c>
      <c r="AJ56" s="119">
        <f t="shared" si="12"/>
        <v>0</v>
      </c>
      <c r="AK56" s="792"/>
      <c r="AL56" s="1481"/>
    </row>
    <row r="57" spans="2:38" s="112" customFormat="1" x14ac:dyDescent="0.2">
      <c r="B57" s="132"/>
      <c r="C57" s="149"/>
      <c r="D57" s="49">
        <v>43</v>
      </c>
      <c r="E57" s="978" t="str">
        <f>+'Li O school'!E57</f>
        <v>school 43</v>
      </c>
      <c r="F57" s="978" t="str">
        <f>+'Li O school'!F57</f>
        <v>11AA</v>
      </c>
      <c r="G57" s="833">
        <f>'Li O school'!I57</f>
        <v>0</v>
      </c>
      <c r="H57" s="833">
        <f>'Li O school'!J57</f>
        <v>0</v>
      </c>
      <c r="I57" s="833">
        <f>'Li O school'!K57</f>
        <v>0</v>
      </c>
      <c r="J57" s="833">
        <f>'Li O school'!L57</f>
        <v>0</v>
      </c>
      <c r="K57" s="833">
        <f>'Li O school'!M57</f>
        <v>0</v>
      </c>
      <c r="L57" s="833">
        <f>'Li O school'!N57</f>
        <v>0</v>
      </c>
      <c r="M57" s="70"/>
      <c r="N57" s="67">
        <f>ROUND(G57*tab!F$26,2)</f>
        <v>0</v>
      </c>
      <c r="O57" s="67">
        <f>ROUND(H57*tab!G$26,2)</f>
        <v>0</v>
      </c>
      <c r="P57" s="67">
        <f>ROUND(I57*tab!H$26,2)</f>
        <v>0</v>
      </c>
      <c r="Q57" s="67">
        <f>ROUND(J57*tab!I$26,2)</f>
        <v>0</v>
      </c>
      <c r="R57" s="67">
        <f>ROUND(K57*tab!J$26,2)</f>
        <v>0</v>
      </c>
      <c r="S57" s="70"/>
      <c r="T57" s="119">
        <v>0</v>
      </c>
      <c r="U57" s="119">
        <f t="shared" si="14"/>
        <v>0</v>
      </c>
      <c r="V57" s="119">
        <f t="shared" si="14"/>
        <v>0</v>
      </c>
      <c r="W57" s="119">
        <f t="shared" si="6"/>
        <v>0</v>
      </c>
      <c r="X57" s="119">
        <f t="shared" si="7"/>
        <v>0</v>
      </c>
      <c r="Y57" s="70"/>
      <c r="Z57" s="67">
        <f>+G57*tab!F$30</f>
        <v>0</v>
      </c>
      <c r="AA57" s="67">
        <f>+H57*tab!G$30</f>
        <v>0</v>
      </c>
      <c r="AB57" s="67">
        <f>+I57*tab!H$30</f>
        <v>0</v>
      </c>
      <c r="AC57" s="67">
        <f>+J57*tab!I$30</f>
        <v>0</v>
      </c>
      <c r="AD57" s="67">
        <f>+K57*tab!J$30</f>
        <v>0</v>
      </c>
      <c r="AE57" s="70"/>
      <c r="AF57" s="562">
        <v>0</v>
      </c>
      <c r="AG57" s="119">
        <f t="shared" si="9"/>
        <v>0</v>
      </c>
      <c r="AH57" s="119">
        <f t="shared" si="10"/>
        <v>0</v>
      </c>
      <c r="AI57" s="119">
        <f t="shared" si="11"/>
        <v>0</v>
      </c>
      <c r="AJ57" s="119">
        <f t="shared" si="12"/>
        <v>0</v>
      </c>
      <c r="AK57" s="792"/>
      <c r="AL57" s="1481"/>
    </row>
    <row r="58" spans="2:38" s="112" customFormat="1" x14ac:dyDescent="0.2">
      <c r="B58" s="132"/>
      <c r="C58" s="149"/>
      <c r="D58" s="49">
        <v>44</v>
      </c>
      <c r="E58" s="978" t="str">
        <f>+'Li O school'!E58</f>
        <v>school 44</v>
      </c>
      <c r="F58" s="978" t="str">
        <f>+'Li O school'!F58</f>
        <v>11AA</v>
      </c>
      <c r="G58" s="833">
        <f>'Li O school'!I58</f>
        <v>0</v>
      </c>
      <c r="H58" s="833">
        <f>'Li O school'!J58</f>
        <v>0</v>
      </c>
      <c r="I58" s="833">
        <f>'Li O school'!K58</f>
        <v>0</v>
      </c>
      <c r="J58" s="833">
        <f>'Li O school'!L58</f>
        <v>0</v>
      </c>
      <c r="K58" s="833">
        <f>'Li O school'!M58</f>
        <v>0</v>
      </c>
      <c r="L58" s="833">
        <f>'Li O school'!N58</f>
        <v>0</v>
      </c>
      <c r="M58" s="70"/>
      <c r="N58" s="67">
        <f>ROUND(G58*tab!F$26,2)</f>
        <v>0</v>
      </c>
      <c r="O58" s="67">
        <f>ROUND(H58*tab!G$26,2)</f>
        <v>0</v>
      </c>
      <c r="P58" s="67">
        <f>ROUND(I58*tab!H$26,2)</f>
        <v>0</v>
      </c>
      <c r="Q58" s="67">
        <f>ROUND(J58*tab!I$26,2)</f>
        <v>0</v>
      </c>
      <c r="R58" s="67">
        <f>ROUND(K58*tab!J$26,2)</f>
        <v>0</v>
      </c>
      <c r="S58" s="70"/>
      <c r="T58" s="119">
        <v>0</v>
      </c>
      <c r="U58" s="119">
        <f t="shared" si="14"/>
        <v>0</v>
      </c>
      <c r="V58" s="119">
        <f t="shared" si="14"/>
        <v>0</v>
      </c>
      <c r="W58" s="119">
        <f t="shared" si="6"/>
        <v>0</v>
      </c>
      <c r="X58" s="119">
        <f t="shared" si="7"/>
        <v>0</v>
      </c>
      <c r="Y58" s="70"/>
      <c r="Z58" s="67">
        <f>+G58*tab!F$30</f>
        <v>0</v>
      </c>
      <c r="AA58" s="67">
        <f>+H58*tab!G$30</f>
        <v>0</v>
      </c>
      <c r="AB58" s="67">
        <f>+I58*tab!H$30</f>
        <v>0</v>
      </c>
      <c r="AC58" s="67">
        <f>+J58*tab!I$30</f>
        <v>0</v>
      </c>
      <c r="AD58" s="67">
        <f>+K58*tab!J$30</f>
        <v>0</v>
      </c>
      <c r="AE58" s="70"/>
      <c r="AF58" s="562">
        <v>0</v>
      </c>
      <c r="AG58" s="119">
        <f t="shared" si="9"/>
        <v>0</v>
      </c>
      <c r="AH58" s="119">
        <f t="shared" si="10"/>
        <v>0</v>
      </c>
      <c r="AI58" s="119">
        <f t="shared" si="11"/>
        <v>0</v>
      </c>
      <c r="AJ58" s="119">
        <f t="shared" si="12"/>
        <v>0</v>
      </c>
      <c r="AK58" s="792"/>
      <c r="AL58" s="1481"/>
    </row>
    <row r="59" spans="2:38" s="112" customFormat="1" x14ac:dyDescent="0.2">
      <c r="B59" s="132"/>
      <c r="C59" s="149"/>
      <c r="D59" s="49">
        <v>45</v>
      </c>
      <c r="E59" s="978" t="str">
        <f>+'Li O school'!E59</f>
        <v>school 45</v>
      </c>
      <c r="F59" s="978" t="str">
        <f>+'Li O school'!F59</f>
        <v>11AA</v>
      </c>
      <c r="G59" s="833">
        <f>'Li O school'!I59</f>
        <v>0</v>
      </c>
      <c r="H59" s="833">
        <f>'Li O school'!J59</f>
        <v>0</v>
      </c>
      <c r="I59" s="833">
        <f>'Li O school'!K59</f>
        <v>0</v>
      </c>
      <c r="J59" s="833">
        <f>'Li O school'!L59</f>
        <v>0</v>
      </c>
      <c r="K59" s="833">
        <f>'Li O school'!M59</f>
        <v>0</v>
      </c>
      <c r="L59" s="833">
        <f>'Li O school'!N59</f>
        <v>0</v>
      </c>
      <c r="M59" s="70"/>
      <c r="N59" s="67">
        <f>ROUND(G59*tab!F$26,2)</f>
        <v>0</v>
      </c>
      <c r="O59" s="67">
        <f>ROUND(H59*tab!G$26,2)</f>
        <v>0</v>
      </c>
      <c r="P59" s="67">
        <f>ROUND(I59*tab!H$26,2)</f>
        <v>0</v>
      </c>
      <c r="Q59" s="67">
        <f>ROUND(J59*tab!I$26,2)</f>
        <v>0</v>
      </c>
      <c r="R59" s="67">
        <f>ROUND(K59*tab!J$26,2)</f>
        <v>0</v>
      </c>
      <c r="S59" s="70"/>
      <c r="T59" s="119">
        <v>0</v>
      </c>
      <c r="U59" s="119">
        <f t="shared" si="14"/>
        <v>0</v>
      </c>
      <c r="V59" s="119">
        <f t="shared" si="14"/>
        <v>0</v>
      </c>
      <c r="W59" s="119">
        <f t="shared" si="6"/>
        <v>0</v>
      </c>
      <c r="X59" s="119">
        <f t="shared" si="7"/>
        <v>0</v>
      </c>
      <c r="Y59" s="70"/>
      <c r="Z59" s="67">
        <f>+G59*tab!F$30</f>
        <v>0</v>
      </c>
      <c r="AA59" s="67">
        <f>+H59*tab!G$30</f>
        <v>0</v>
      </c>
      <c r="AB59" s="67">
        <f>+I59*tab!H$30</f>
        <v>0</v>
      </c>
      <c r="AC59" s="67">
        <f>+J59*tab!I$30</f>
        <v>0</v>
      </c>
      <c r="AD59" s="67">
        <f>+K59*tab!J$30</f>
        <v>0</v>
      </c>
      <c r="AE59" s="70"/>
      <c r="AF59" s="562">
        <v>0</v>
      </c>
      <c r="AG59" s="119">
        <f t="shared" si="9"/>
        <v>0</v>
      </c>
      <c r="AH59" s="119">
        <f t="shared" si="10"/>
        <v>0</v>
      </c>
      <c r="AI59" s="119">
        <f t="shared" si="11"/>
        <v>0</v>
      </c>
      <c r="AJ59" s="119">
        <f t="shared" si="12"/>
        <v>0</v>
      </c>
      <c r="AK59" s="792"/>
      <c r="AL59" s="1481"/>
    </row>
    <row r="60" spans="2:38" s="112" customFormat="1" x14ac:dyDescent="0.2">
      <c r="B60" s="132"/>
      <c r="C60" s="149"/>
      <c r="D60" s="49">
        <v>46</v>
      </c>
      <c r="E60" s="978" t="str">
        <f>+'Li O school'!E60</f>
        <v>school 46</v>
      </c>
      <c r="F60" s="978" t="str">
        <f>+'Li O school'!F60</f>
        <v>11AA</v>
      </c>
      <c r="G60" s="833">
        <f>'Li O school'!I60</f>
        <v>0</v>
      </c>
      <c r="H60" s="833">
        <f>'Li O school'!J60</f>
        <v>0</v>
      </c>
      <c r="I60" s="833">
        <f>'Li O school'!K60</f>
        <v>0</v>
      </c>
      <c r="J60" s="833">
        <f>'Li O school'!L60</f>
        <v>0</v>
      </c>
      <c r="K60" s="833">
        <f>'Li O school'!M60</f>
        <v>0</v>
      </c>
      <c r="L60" s="833">
        <f>'Li O school'!N60</f>
        <v>0</v>
      </c>
      <c r="M60" s="70"/>
      <c r="N60" s="67">
        <f>ROUND(G60*tab!F$26,2)</f>
        <v>0</v>
      </c>
      <c r="O60" s="67">
        <f>ROUND(H60*tab!G$26,2)</f>
        <v>0</v>
      </c>
      <c r="P60" s="67">
        <f>ROUND(I60*tab!H$26,2)</f>
        <v>0</v>
      </c>
      <c r="Q60" s="67">
        <f>ROUND(J60*tab!I$26,2)</f>
        <v>0</v>
      </c>
      <c r="R60" s="67">
        <f>ROUND(K60*tab!J$26,2)</f>
        <v>0</v>
      </c>
      <c r="S60" s="70"/>
      <c r="T60" s="119">
        <v>0</v>
      </c>
      <c r="U60" s="119">
        <f t="shared" si="14"/>
        <v>0</v>
      </c>
      <c r="V60" s="119">
        <f t="shared" si="14"/>
        <v>0</v>
      </c>
      <c r="W60" s="119">
        <f t="shared" si="6"/>
        <v>0</v>
      </c>
      <c r="X60" s="119">
        <f t="shared" si="7"/>
        <v>0</v>
      </c>
      <c r="Y60" s="70"/>
      <c r="Z60" s="67">
        <f>+G60*tab!F$30</f>
        <v>0</v>
      </c>
      <c r="AA60" s="67">
        <f>+H60*tab!G$30</f>
        <v>0</v>
      </c>
      <c r="AB60" s="67">
        <f>+I60*tab!H$30</f>
        <v>0</v>
      </c>
      <c r="AC60" s="67">
        <f>+J60*tab!I$30</f>
        <v>0</v>
      </c>
      <c r="AD60" s="67">
        <f>+K60*tab!J$30</f>
        <v>0</v>
      </c>
      <c r="AE60" s="70"/>
      <c r="AF60" s="562">
        <v>0</v>
      </c>
      <c r="AG60" s="119">
        <f t="shared" si="9"/>
        <v>0</v>
      </c>
      <c r="AH60" s="119">
        <f t="shared" si="10"/>
        <v>0</v>
      </c>
      <c r="AI60" s="119">
        <f t="shared" si="11"/>
        <v>0</v>
      </c>
      <c r="AJ60" s="119">
        <f t="shared" si="12"/>
        <v>0</v>
      </c>
      <c r="AK60" s="792"/>
      <c r="AL60" s="1481"/>
    </row>
    <row r="61" spans="2:38" s="112" customFormat="1" x14ac:dyDescent="0.2">
      <c r="B61" s="132"/>
      <c r="C61" s="149"/>
      <c r="D61" s="49">
        <v>47</v>
      </c>
      <c r="E61" s="978" t="str">
        <f>+'Li O school'!E61</f>
        <v>school 47</v>
      </c>
      <c r="F61" s="978" t="str">
        <f>+'Li O school'!F61</f>
        <v>11AA</v>
      </c>
      <c r="G61" s="833">
        <f>'Li O school'!I61</f>
        <v>0</v>
      </c>
      <c r="H61" s="833">
        <f>'Li O school'!J61</f>
        <v>0</v>
      </c>
      <c r="I61" s="833">
        <f>'Li O school'!K61</f>
        <v>0</v>
      </c>
      <c r="J61" s="833">
        <f>'Li O school'!L61</f>
        <v>0</v>
      </c>
      <c r="K61" s="833">
        <f>'Li O school'!M61</f>
        <v>0</v>
      </c>
      <c r="L61" s="833">
        <f>'Li O school'!N61</f>
        <v>0</v>
      </c>
      <c r="M61" s="70"/>
      <c r="N61" s="67">
        <f>ROUND(G61*tab!F$26,2)</f>
        <v>0</v>
      </c>
      <c r="O61" s="67">
        <f>ROUND(H61*tab!G$26,2)</f>
        <v>0</v>
      </c>
      <c r="P61" s="67">
        <f>ROUND(I61*tab!H$26,2)</f>
        <v>0</v>
      </c>
      <c r="Q61" s="67">
        <f>ROUND(J61*tab!I$26,2)</f>
        <v>0</v>
      </c>
      <c r="R61" s="67">
        <f>ROUND(K61*tab!J$26,2)</f>
        <v>0</v>
      </c>
      <c r="S61" s="70"/>
      <c r="T61" s="119">
        <v>0</v>
      </c>
      <c r="U61" s="119">
        <f t="shared" si="14"/>
        <v>0</v>
      </c>
      <c r="V61" s="119">
        <f t="shared" si="14"/>
        <v>0</v>
      </c>
      <c r="W61" s="119">
        <f t="shared" si="6"/>
        <v>0</v>
      </c>
      <c r="X61" s="119">
        <f t="shared" si="7"/>
        <v>0</v>
      </c>
      <c r="Y61" s="70"/>
      <c r="Z61" s="67">
        <f>+G61*tab!F$30</f>
        <v>0</v>
      </c>
      <c r="AA61" s="67">
        <f>+H61*tab!G$30</f>
        <v>0</v>
      </c>
      <c r="AB61" s="67">
        <f>+I61*tab!H$30</f>
        <v>0</v>
      </c>
      <c r="AC61" s="67">
        <f>+J61*tab!I$30</f>
        <v>0</v>
      </c>
      <c r="AD61" s="67">
        <f>+K61*tab!J$30</f>
        <v>0</v>
      </c>
      <c r="AE61" s="70"/>
      <c r="AF61" s="562">
        <v>0</v>
      </c>
      <c r="AG61" s="119">
        <f t="shared" si="9"/>
        <v>0</v>
      </c>
      <c r="AH61" s="119">
        <f t="shared" si="10"/>
        <v>0</v>
      </c>
      <c r="AI61" s="119">
        <f t="shared" si="11"/>
        <v>0</v>
      </c>
      <c r="AJ61" s="119">
        <f t="shared" si="12"/>
        <v>0</v>
      </c>
      <c r="AK61" s="792"/>
      <c r="AL61" s="1481"/>
    </row>
    <row r="62" spans="2:38" s="112" customFormat="1" x14ac:dyDescent="0.2">
      <c r="B62" s="132"/>
      <c r="C62" s="149"/>
      <c r="D62" s="49">
        <v>48</v>
      </c>
      <c r="E62" s="978" t="str">
        <f>+'Li O school'!E62</f>
        <v>school 48</v>
      </c>
      <c r="F62" s="978" t="str">
        <f>+'Li O school'!F62</f>
        <v>11AA</v>
      </c>
      <c r="G62" s="833">
        <f>'Li O school'!I62</f>
        <v>0</v>
      </c>
      <c r="H62" s="833">
        <f>'Li O school'!J62</f>
        <v>0</v>
      </c>
      <c r="I62" s="833">
        <f>'Li O school'!K62</f>
        <v>0</v>
      </c>
      <c r="J62" s="833">
        <f>'Li O school'!L62</f>
        <v>0</v>
      </c>
      <c r="K62" s="833">
        <f>'Li O school'!M62</f>
        <v>0</v>
      </c>
      <c r="L62" s="833">
        <f>'Li O school'!N62</f>
        <v>0</v>
      </c>
      <c r="M62" s="70"/>
      <c r="N62" s="67">
        <f>ROUND(G62*tab!F$26,2)</f>
        <v>0</v>
      </c>
      <c r="O62" s="67">
        <f>ROUND(H62*tab!G$26,2)</f>
        <v>0</v>
      </c>
      <c r="P62" s="67">
        <f>ROUND(I62*tab!H$26,2)</f>
        <v>0</v>
      </c>
      <c r="Q62" s="67">
        <f>ROUND(J62*tab!I$26,2)</f>
        <v>0</v>
      </c>
      <c r="R62" s="67">
        <f>ROUND(K62*tab!J$26,2)</f>
        <v>0</v>
      </c>
      <c r="S62" s="70"/>
      <c r="T62" s="119">
        <v>0</v>
      </c>
      <c r="U62" s="119">
        <f t="shared" si="14"/>
        <v>0</v>
      </c>
      <c r="V62" s="119">
        <f t="shared" si="14"/>
        <v>0</v>
      </c>
      <c r="W62" s="119">
        <f t="shared" si="6"/>
        <v>0</v>
      </c>
      <c r="X62" s="119">
        <f t="shared" si="7"/>
        <v>0</v>
      </c>
      <c r="Y62" s="70"/>
      <c r="Z62" s="67">
        <f>+G62*tab!F$30</f>
        <v>0</v>
      </c>
      <c r="AA62" s="67">
        <f>+H62*tab!G$30</f>
        <v>0</v>
      </c>
      <c r="AB62" s="67">
        <f>+I62*tab!H$30</f>
        <v>0</v>
      </c>
      <c r="AC62" s="67">
        <f>+J62*tab!I$30</f>
        <v>0</v>
      </c>
      <c r="AD62" s="67">
        <f>+K62*tab!J$30</f>
        <v>0</v>
      </c>
      <c r="AE62" s="70"/>
      <c r="AF62" s="562">
        <v>0</v>
      </c>
      <c r="AG62" s="119">
        <f t="shared" si="9"/>
        <v>0</v>
      </c>
      <c r="AH62" s="119">
        <f t="shared" si="10"/>
        <v>0</v>
      </c>
      <c r="AI62" s="119">
        <f t="shared" si="11"/>
        <v>0</v>
      </c>
      <c r="AJ62" s="119">
        <f t="shared" si="12"/>
        <v>0</v>
      </c>
      <c r="AK62" s="792"/>
      <c r="AL62" s="1481"/>
    </row>
    <row r="63" spans="2:38" s="112" customFormat="1" x14ac:dyDescent="0.2">
      <c r="B63" s="132"/>
      <c r="C63" s="149"/>
      <c r="D63" s="49">
        <v>49</v>
      </c>
      <c r="E63" s="978" t="str">
        <f>+'Li O school'!E63</f>
        <v>school 49</v>
      </c>
      <c r="F63" s="978" t="str">
        <f>+'Li O school'!F63</f>
        <v>11AA</v>
      </c>
      <c r="G63" s="833">
        <f>'Li O school'!I63</f>
        <v>0</v>
      </c>
      <c r="H63" s="833">
        <f>'Li O school'!J63</f>
        <v>0</v>
      </c>
      <c r="I63" s="833">
        <f>'Li O school'!K63</f>
        <v>0</v>
      </c>
      <c r="J63" s="833">
        <f>'Li O school'!L63</f>
        <v>0</v>
      </c>
      <c r="K63" s="833">
        <f>'Li O school'!M63</f>
        <v>0</v>
      </c>
      <c r="L63" s="833">
        <f>'Li O school'!N63</f>
        <v>0</v>
      </c>
      <c r="M63" s="70"/>
      <c r="N63" s="67">
        <f>ROUND(G63*tab!F$26,2)</f>
        <v>0</v>
      </c>
      <c r="O63" s="67">
        <f>ROUND(H63*tab!G$26,2)</f>
        <v>0</v>
      </c>
      <c r="P63" s="67">
        <f>ROUND(I63*tab!H$26,2)</f>
        <v>0</v>
      </c>
      <c r="Q63" s="67">
        <f>ROUND(J63*tab!I$26,2)</f>
        <v>0</v>
      </c>
      <c r="R63" s="67">
        <f>ROUND(K63*tab!J$26,2)</f>
        <v>0</v>
      </c>
      <c r="S63" s="70"/>
      <c r="T63" s="119">
        <v>0</v>
      </c>
      <c r="U63" s="119">
        <f t="shared" si="14"/>
        <v>0</v>
      </c>
      <c r="V63" s="119">
        <f t="shared" si="14"/>
        <v>0</v>
      </c>
      <c r="W63" s="119">
        <f t="shared" si="6"/>
        <v>0</v>
      </c>
      <c r="X63" s="119">
        <f t="shared" si="7"/>
        <v>0</v>
      </c>
      <c r="Y63" s="70"/>
      <c r="Z63" s="67">
        <f>+G63*tab!F$30</f>
        <v>0</v>
      </c>
      <c r="AA63" s="67">
        <f>+H63*tab!G$30</f>
        <v>0</v>
      </c>
      <c r="AB63" s="67">
        <f>+I63*tab!H$30</f>
        <v>0</v>
      </c>
      <c r="AC63" s="67">
        <f>+J63*tab!I$30</f>
        <v>0</v>
      </c>
      <c r="AD63" s="67">
        <f>+K63*tab!J$30</f>
        <v>0</v>
      </c>
      <c r="AE63" s="70"/>
      <c r="AF63" s="562">
        <v>0</v>
      </c>
      <c r="AG63" s="119">
        <f t="shared" si="9"/>
        <v>0</v>
      </c>
      <c r="AH63" s="119">
        <f t="shared" si="10"/>
        <v>0</v>
      </c>
      <c r="AI63" s="119">
        <f t="shared" si="11"/>
        <v>0</v>
      </c>
      <c r="AJ63" s="119">
        <f t="shared" si="12"/>
        <v>0</v>
      </c>
      <c r="AK63" s="792"/>
      <c r="AL63" s="1481"/>
    </row>
    <row r="64" spans="2:38" s="112" customFormat="1" x14ac:dyDescent="0.2">
      <c r="B64" s="132"/>
      <c r="C64" s="149"/>
      <c r="D64" s="49">
        <v>50</v>
      </c>
      <c r="E64" s="978" t="str">
        <f>+'Li O school'!E64</f>
        <v>school 50</v>
      </c>
      <c r="F64" s="978" t="str">
        <f>+'Li O school'!F64</f>
        <v>11AA</v>
      </c>
      <c r="G64" s="833">
        <f>'Li O school'!I64</f>
        <v>0</v>
      </c>
      <c r="H64" s="833">
        <f>'Li O school'!J64</f>
        <v>0</v>
      </c>
      <c r="I64" s="833">
        <f>'Li O school'!K64</f>
        <v>0</v>
      </c>
      <c r="J64" s="833">
        <f>'Li O school'!L64</f>
        <v>0</v>
      </c>
      <c r="K64" s="833">
        <f>'Li O school'!M64</f>
        <v>0</v>
      </c>
      <c r="L64" s="833">
        <f>'Li O school'!N64</f>
        <v>0</v>
      </c>
      <c r="M64" s="70"/>
      <c r="N64" s="67">
        <f>ROUND(G64*tab!F$26,2)</f>
        <v>0</v>
      </c>
      <c r="O64" s="67">
        <f>ROUND(H64*tab!G$26,2)</f>
        <v>0</v>
      </c>
      <c r="P64" s="67">
        <f>ROUND(I64*tab!H$26,2)</f>
        <v>0</v>
      </c>
      <c r="Q64" s="67">
        <f>ROUND(J64*tab!I$26,2)</f>
        <v>0</v>
      </c>
      <c r="R64" s="67">
        <f>ROUND(K64*tab!J$26,2)</f>
        <v>0</v>
      </c>
      <c r="S64" s="70"/>
      <c r="T64" s="119">
        <v>0</v>
      </c>
      <c r="U64" s="119">
        <f t="shared" si="14"/>
        <v>0</v>
      </c>
      <c r="V64" s="119">
        <f t="shared" si="14"/>
        <v>0</v>
      </c>
      <c r="W64" s="119">
        <f t="shared" si="6"/>
        <v>0</v>
      </c>
      <c r="X64" s="119">
        <f t="shared" si="7"/>
        <v>0</v>
      </c>
      <c r="Y64" s="70"/>
      <c r="Z64" s="67">
        <f>+G64*tab!F$30</f>
        <v>0</v>
      </c>
      <c r="AA64" s="67">
        <f>+H64*tab!G$30</f>
        <v>0</v>
      </c>
      <c r="AB64" s="67">
        <f>+I64*tab!H$30</f>
        <v>0</v>
      </c>
      <c r="AC64" s="67">
        <f>+J64*tab!I$30</f>
        <v>0</v>
      </c>
      <c r="AD64" s="67">
        <f>+K64*tab!J$30</f>
        <v>0</v>
      </c>
      <c r="AE64" s="70"/>
      <c r="AF64" s="562">
        <v>0</v>
      </c>
      <c r="AG64" s="119">
        <f t="shared" si="9"/>
        <v>0</v>
      </c>
      <c r="AH64" s="119">
        <f t="shared" si="10"/>
        <v>0</v>
      </c>
      <c r="AI64" s="119">
        <f t="shared" si="11"/>
        <v>0</v>
      </c>
      <c r="AJ64" s="119">
        <f t="shared" si="12"/>
        <v>0</v>
      </c>
      <c r="AK64" s="792"/>
      <c r="AL64" s="1481"/>
    </row>
    <row r="65" spans="2:38" s="112" customFormat="1" x14ac:dyDescent="0.2">
      <c r="B65" s="132"/>
      <c r="C65" s="149"/>
      <c r="D65" s="49">
        <v>51</v>
      </c>
      <c r="E65" s="978" t="str">
        <f>+'Li O school'!E65</f>
        <v>school 51</v>
      </c>
      <c r="F65" s="978" t="str">
        <f>+'Li O school'!F65</f>
        <v>11AA</v>
      </c>
      <c r="G65" s="833">
        <f>'Li O school'!I65</f>
        <v>0</v>
      </c>
      <c r="H65" s="833">
        <f>'Li O school'!J65</f>
        <v>0</v>
      </c>
      <c r="I65" s="833">
        <f>'Li O school'!K65</f>
        <v>0</v>
      </c>
      <c r="J65" s="833">
        <f>'Li O school'!L65</f>
        <v>0</v>
      </c>
      <c r="K65" s="833">
        <f>'Li O school'!M65</f>
        <v>0</v>
      </c>
      <c r="L65" s="833">
        <f>'Li O school'!N65</f>
        <v>0</v>
      </c>
      <c r="M65" s="70"/>
      <c r="N65" s="67">
        <f>ROUND(G65*tab!F$26,2)</f>
        <v>0</v>
      </c>
      <c r="O65" s="67">
        <f>ROUND(H65*tab!G$26,2)</f>
        <v>0</v>
      </c>
      <c r="P65" s="67">
        <f>ROUND(I65*tab!H$26,2)</f>
        <v>0</v>
      </c>
      <c r="Q65" s="67">
        <f>ROUND(J65*tab!I$26,2)</f>
        <v>0</v>
      </c>
      <c r="R65" s="67">
        <f>ROUND(K65*tab!J$26,2)</f>
        <v>0</v>
      </c>
      <c r="S65" s="70"/>
      <c r="T65" s="119">
        <v>0</v>
      </c>
      <c r="U65" s="119">
        <f t="shared" si="14"/>
        <v>0</v>
      </c>
      <c r="V65" s="119">
        <f t="shared" si="14"/>
        <v>0</v>
      </c>
      <c r="W65" s="119">
        <f t="shared" si="6"/>
        <v>0</v>
      </c>
      <c r="X65" s="119">
        <f t="shared" si="7"/>
        <v>0</v>
      </c>
      <c r="Y65" s="70"/>
      <c r="Z65" s="67">
        <f>+G65*tab!F$30</f>
        <v>0</v>
      </c>
      <c r="AA65" s="67">
        <f>+H65*tab!G$30</f>
        <v>0</v>
      </c>
      <c r="AB65" s="67">
        <f>+I65*tab!H$30</f>
        <v>0</v>
      </c>
      <c r="AC65" s="67">
        <f>+J65*tab!I$30</f>
        <v>0</v>
      </c>
      <c r="AD65" s="67">
        <f>+K65*tab!J$30</f>
        <v>0</v>
      </c>
      <c r="AE65" s="70"/>
      <c r="AF65" s="562">
        <v>0</v>
      </c>
      <c r="AG65" s="119">
        <f t="shared" si="9"/>
        <v>0</v>
      </c>
      <c r="AH65" s="119">
        <f t="shared" si="10"/>
        <v>0</v>
      </c>
      <c r="AI65" s="119">
        <f t="shared" si="11"/>
        <v>0</v>
      </c>
      <c r="AJ65" s="119">
        <f t="shared" si="12"/>
        <v>0</v>
      </c>
      <c r="AK65" s="792"/>
      <c r="AL65" s="1481"/>
    </row>
    <row r="66" spans="2:38" s="112" customFormat="1" x14ac:dyDescent="0.2">
      <c r="B66" s="132"/>
      <c r="C66" s="149"/>
      <c r="D66" s="49">
        <v>52</v>
      </c>
      <c r="E66" s="978" t="str">
        <f>+'Li O school'!E66</f>
        <v>school 52</v>
      </c>
      <c r="F66" s="978" t="str">
        <f>+'Li O school'!F66</f>
        <v>11AA</v>
      </c>
      <c r="G66" s="833">
        <f>'Li O school'!I66</f>
        <v>0</v>
      </c>
      <c r="H66" s="833">
        <f>'Li O school'!J66</f>
        <v>0</v>
      </c>
      <c r="I66" s="833">
        <f>'Li O school'!K66</f>
        <v>0</v>
      </c>
      <c r="J66" s="833">
        <f>'Li O school'!L66</f>
        <v>0</v>
      </c>
      <c r="K66" s="833">
        <f>'Li O school'!M66</f>
        <v>0</v>
      </c>
      <c r="L66" s="833">
        <f>'Li O school'!N66</f>
        <v>0</v>
      </c>
      <c r="M66" s="70"/>
      <c r="N66" s="67">
        <f>ROUND(G66*tab!F$26,2)</f>
        <v>0</v>
      </c>
      <c r="O66" s="67">
        <f>ROUND(H66*tab!G$26,2)</f>
        <v>0</v>
      </c>
      <c r="P66" s="67">
        <f>ROUND(I66*tab!H$26,2)</f>
        <v>0</v>
      </c>
      <c r="Q66" s="67">
        <f>ROUND(J66*tab!I$26,2)</f>
        <v>0</v>
      </c>
      <c r="R66" s="67">
        <f>ROUND(K66*tab!J$26,2)</f>
        <v>0</v>
      </c>
      <c r="S66" s="70"/>
      <c r="T66" s="119">
        <v>0</v>
      </c>
      <c r="U66" s="119">
        <f t="shared" si="14"/>
        <v>0</v>
      </c>
      <c r="V66" s="119">
        <f t="shared" si="14"/>
        <v>0</v>
      </c>
      <c r="W66" s="119">
        <f t="shared" si="6"/>
        <v>0</v>
      </c>
      <c r="X66" s="119">
        <f t="shared" si="7"/>
        <v>0</v>
      </c>
      <c r="Y66" s="70"/>
      <c r="Z66" s="67">
        <f>+G66*tab!F$30</f>
        <v>0</v>
      </c>
      <c r="AA66" s="67">
        <f>+H66*tab!G$30</f>
        <v>0</v>
      </c>
      <c r="AB66" s="67">
        <f>+I66*tab!H$30</f>
        <v>0</v>
      </c>
      <c r="AC66" s="67">
        <f>+J66*tab!I$30</f>
        <v>0</v>
      </c>
      <c r="AD66" s="67">
        <f>+K66*tab!J$30</f>
        <v>0</v>
      </c>
      <c r="AE66" s="70"/>
      <c r="AF66" s="562">
        <v>0</v>
      </c>
      <c r="AG66" s="119">
        <f t="shared" si="9"/>
        <v>0</v>
      </c>
      <c r="AH66" s="119">
        <f t="shared" si="10"/>
        <v>0</v>
      </c>
      <c r="AI66" s="119">
        <f t="shared" si="11"/>
        <v>0</v>
      </c>
      <c r="AJ66" s="119">
        <f t="shared" si="12"/>
        <v>0</v>
      </c>
      <c r="AK66" s="792"/>
      <c r="AL66" s="1481"/>
    </row>
    <row r="67" spans="2:38" s="112" customFormat="1" x14ac:dyDescent="0.2">
      <c r="B67" s="132"/>
      <c r="C67" s="149"/>
      <c r="D67" s="49">
        <v>53</v>
      </c>
      <c r="E67" s="978" t="str">
        <f>+'Li O school'!E67</f>
        <v>school 53</v>
      </c>
      <c r="F67" s="978" t="str">
        <f>+'Li O school'!F67</f>
        <v>11AA</v>
      </c>
      <c r="G67" s="833">
        <f>'Li O school'!I67</f>
        <v>0</v>
      </c>
      <c r="H67" s="833">
        <f>'Li O school'!J67</f>
        <v>0</v>
      </c>
      <c r="I67" s="833">
        <f>'Li O school'!K67</f>
        <v>0</v>
      </c>
      <c r="J67" s="833">
        <f>'Li O school'!L67</f>
        <v>0</v>
      </c>
      <c r="K67" s="833">
        <f>'Li O school'!M67</f>
        <v>0</v>
      </c>
      <c r="L67" s="833">
        <f>'Li O school'!N67</f>
        <v>0</v>
      </c>
      <c r="M67" s="70"/>
      <c r="N67" s="67">
        <f>ROUND(G67*tab!F$26,2)</f>
        <v>0</v>
      </c>
      <c r="O67" s="67">
        <f>ROUND(H67*tab!G$26,2)</f>
        <v>0</v>
      </c>
      <c r="P67" s="67">
        <f>ROUND(I67*tab!H$26,2)</f>
        <v>0</v>
      </c>
      <c r="Q67" s="67">
        <f>ROUND(J67*tab!I$26,2)</f>
        <v>0</v>
      </c>
      <c r="R67" s="67">
        <f>ROUND(K67*tab!J$26,2)</f>
        <v>0</v>
      </c>
      <c r="S67" s="70"/>
      <c r="T67" s="119">
        <v>0</v>
      </c>
      <c r="U67" s="119">
        <f t="shared" si="14"/>
        <v>0</v>
      </c>
      <c r="V67" s="119">
        <f t="shared" si="14"/>
        <v>0</v>
      </c>
      <c r="W67" s="119">
        <f t="shared" si="6"/>
        <v>0</v>
      </c>
      <c r="X67" s="119">
        <f t="shared" si="7"/>
        <v>0</v>
      </c>
      <c r="Y67" s="70"/>
      <c r="Z67" s="67">
        <f>+G67*tab!F$30</f>
        <v>0</v>
      </c>
      <c r="AA67" s="67">
        <f>+H67*tab!G$30</f>
        <v>0</v>
      </c>
      <c r="AB67" s="67">
        <f>+I67*tab!H$30</f>
        <v>0</v>
      </c>
      <c r="AC67" s="67">
        <f>+J67*tab!I$30</f>
        <v>0</v>
      </c>
      <c r="AD67" s="67">
        <f>+K67*tab!J$30</f>
        <v>0</v>
      </c>
      <c r="AE67" s="70"/>
      <c r="AF67" s="562">
        <v>0</v>
      </c>
      <c r="AG67" s="119">
        <f t="shared" si="9"/>
        <v>0</v>
      </c>
      <c r="AH67" s="119">
        <f t="shared" si="10"/>
        <v>0</v>
      </c>
      <c r="AI67" s="119">
        <f t="shared" si="11"/>
        <v>0</v>
      </c>
      <c r="AJ67" s="119">
        <f t="shared" si="12"/>
        <v>0</v>
      </c>
      <c r="AK67" s="792"/>
      <c r="AL67" s="1481"/>
    </row>
    <row r="68" spans="2:38" s="112" customFormat="1" x14ac:dyDescent="0.2">
      <c r="B68" s="132"/>
      <c r="C68" s="149"/>
      <c r="D68" s="49">
        <v>54</v>
      </c>
      <c r="E68" s="978" t="str">
        <f>+'Li O school'!E68</f>
        <v>school 54</v>
      </c>
      <c r="F68" s="978" t="str">
        <f>+'Li O school'!F68</f>
        <v>11AA</v>
      </c>
      <c r="G68" s="833">
        <f>'Li O school'!I68</f>
        <v>0</v>
      </c>
      <c r="H68" s="833">
        <f>'Li O school'!J68</f>
        <v>0</v>
      </c>
      <c r="I68" s="833">
        <f>'Li O school'!K68</f>
        <v>0</v>
      </c>
      <c r="J68" s="833">
        <f>'Li O school'!L68</f>
        <v>0</v>
      </c>
      <c r="K68" s="833">
        <f>'Li O school'!M68</f>
        <v>0</v>
      </c>
      <c r="L68" s="833">
        <f>'Li O school'!N68</f>
        <v>0</v>
      </c>
      <c r="M68" s="70"/>
      <c r="N68" s="67">
        <f>ROUND(G68*tab!F$26,2)</f>
        <v>0</v>
      </c>
      <c r="O68" s="67">
        <f>ROUND(H68*tab!G$26,2)</f>
        <v>0</v>
      </c>
      <c r="P68" s="67">
        <f>ROUND(I68*tab!H$26,2)</f>
        <v>0</v>
      </c>
      <c r="Q68" s="67">
        <f>ROUND(J68*tab!I$26,2)</f>
        <v>0</v>
      </c>
      <c r="R68" s="67">
        <f>ROUND(K68*tab!J$26,2)</f>
        <v>0</v>
      </c>
      <c r="S68" s="70"/>
      <c r="T68" s="119">
        <v>0</v>
      </c>
      <c r="U68" s="119">
        <f t="shared" si="14"/>
        <v>0</v>
      </c>
      <c r="V68" s="119">
        <f t="shared" si="14"/>
        <v>0</v>
      </c>
      <c r="W68" s="119">
        <f t="shared" si="6"/>
        <v>0</v>
      </c>
      <c r="X68" s="119">
        <f t="shared" si="7"/>
        <v>0</v>
      </c>
      <c r="Y68" s="70"/>
      <c r="Z68" s="67">
        <f>+G68*tab!F$30</f>
        <v>0</v>
      </c>
      <c r="AA68" s="67">
        <f>+H68*tab!G$30</f>
        <v>0</v>
      </c>
      <c r="AB68" s="67">
        <f>+I68*tab!H$30</f>
        <v>0</v>
      </c>
      <c r="AC68" s="67">
        <f>+J68*tab!I$30</f>
        <v>0</v>
      </c>
      <c r="AD68" s="67">
        <f>+K68*tab!J$30</f>
        <v>0</v>
      </c>
      <c r="AE68" s="70"/>
      <c r="AF68" s="562">
        <v>0</v>
      </c>
      <c r="AG68" s="119">
        <f t="shared" si="9"/>
        <v>0</v>
      </c>
      <c r="AH68" s="119">
        <f t="shared" si="10"/>
        <v>0</v>
      </c>
      <c r="AI68" s="119">
        <f t="shared" si="11"/>
        <v>0</v>
      </c>
      <c r="AJ68" s="119">
        <f t="shared" si="12"/>
        <v>0</v>
      </c>
      <c r="AK68" s="792"/>
      <c r="AL68" s="1481"/>
    </row>
    <row r="69" spans="2:38" s="112" customFormat="1" x14ac:dyDescent="0.2">
      <c r="B69" s="132"/>
      <c r="C69" s="149"/>
      <c r="D69" s="49">
        <v>55</v>
      </c>
      <c r="E69" s="978" t="str">
        <f>+'Li O school'!E69</f>
        <v>school 55</v>
      </c>
      <c r="F69" s="978" t="str">
        <f>+'Li O school'!F69</f>
        <v>11AA</v>
      </c>
      <c r="G69" s="833">
        <f>'Li O school'!I69</f>
        <v>0</v>
      </c>
      <c r="H69" s="833">
        <f>'Li O school'!J69</f>
        <v>0</v>
      </c>
      <c r="I69" s="833">
        <f>'Li O school'!K69</f>
        <v>0</v>
      </c>
      <c r="J69" s="833">
        <f>'Li O school'!L69</f>
        <v>0</v>
      </c>
      <c r="K69" s="833">
        <f>'Li O school'!M69</f>
        <v>0</v>
      </c>
      <c r="L69" s="833">
        <f>'Li O school'!N69</f>
        <v>0</v>
      </c>
      <c r="M69" s="70"/>
      <c r="N69" s="67">
        <f>ROUND(G69*tab!F$26,2)</f>
        <v>0</v>
      </c>
      <c r="O69" s="67">
        <f>ROUND(H69*tab!G$26,2)</f>
        <v>0</v>
      </c>
      <c r="P69" s="67">
        <f>ROUND(I69*tab!H$26,2)</f>
        <v>0</v>
      </c>
      <c r="Q69" s="67">
        <f>ROUND(J69*tab!I$26,2)</f>
        <v>0</v>
      </c>
      <c r="R69" s="67">
        <f>ROUND(K69*tab!J$26,2)</f>
        <v>0</v>
      </c>
      <c r="S69" s="70"/>
      <c r="T69" s="119">
        <v>0</v>
      </c>
      <c r="U69" s="119">
        <f t="shared" si="14"/>
        <v>0</v>
      </c>
      <c r="V69" s="119">
        <f t="shared" si="14"/>
        <v>0</v>
      </c>
      <c r="W69" s="119">
        <f t="shared" si="6"/>
        <v>0</v>
      </c>
      <c r="X69" s="119">
        <f t="shared" si="7"/>
        <v>0</v>
      </c>
      <c r="Y69" s="70"/>
      <c r="Z69" s="67">
        <f>+G69*tab!F$30</f>
        <v>0</v>
      </c>
      <c r="AA69" s="67">
        <f>+H69*tab!G$30</f>
        <v>0</v>
      </c>
      <c r="AB69" s="67">
        <f>+I69*tab!H$30</f>
        <v>0</v>
      </c>
      <c r="AC69" s="67">
        <f>+J69*tab!I$30</f>
        <v>0</v>
      </c>
      <c r="AD69" s="67">
        <f>+K69*tab!J$30</f>
        <v>0</v>
      </c>
      <c r="AE69" s="70"/>
      <c r="AF69" s="562">
        <v>0</v>
      </c>
      <c r="AG69" s="119">
        <f t="shared" si="9"/>
        <v>0</v>
      </c>
      <c r="AH69" s="119">
        <f t="shared" si="10"/>
        <v>0</v>
      </c>
      <c r="AI69" s="119">
        <f t="shared" si="11"/>
        <v>0</v>
      </c>
      <c r="AJ69" s="119">
        <f t="shared" si="12"/>
        <v>0</v>
      </c>
      <c r="AK69" s="792"/>
      <c r="AL69" s="1481"/>
    </row>
    <row r="70" spans="2:38" s="112" customFormat="1" x14ac:dyDescent="0.2">
      <c r="B70" s="132"/>
      <c r="C70" s="149"/>
      <c r="D70" s="49">
        <v>56</v>
      </c>
      <c r="E70" s="978" t="str">
        <f>+'Li O school'!E70</f>
        <v>school 56</v>
      </c>
      <c r="F70" s="978" t="str">
        <f>+'Li O school'!F70</f>
        <v>11AA</v>
      </c>
      <c r="G70" s="833">
        <f>'Li O school'!I70</f>
        <v>0</v>
      </c>
      <c r="H70" s="833">
        <f>'Li O school'!J70</f>
        <v>0</v>
      </c>
      <c r="I70" s="833">
        <f>'Li O school'!K70</f>
        <v>0</v>
      </c>
      <c r="J70" s="833">
        <f>'Li O school'!L70</f>
        <v>0</v>
      </c>
      <c r="K70" s="833">
        <f>'Li O school'!M70</f>
        <v>0</v>
      </c>
      <c r="L70" s="833">
        <f>'Li O school'!N70</f>
        <v>0</v>
      </c>
      <c r="M70" s="70"/>
      <c r="N70" s="67">
        <f>ROUND(G70*tab!F$26,2)</f>
        <v>0</v>
      </c>
      <c r="O70" s="67">
        <f>ROUND(H70*tab!G$26,2)</f>
        <v>0</v>
      </c>
      <c r="P70" s="67">
        <f>ROUND(I70*tab!H$26,2)</f>
        <v>0</v>
      </c>
      <c r="Q70" s="67">
        <f>ROUND(J70*tab!I$26,2)</f>
        <v>0</v>
      </c>
      <c r="R70" s="67">
        <f>ROUND(K70*tab!J$26,2)</f>
        <v>0</v>
      </c>
      <c r="S70" s="70"/>
      <c r="T70" s="119">
        <v>0</v>
      </c>
      <c r="U70" s="119">
        <f t="shared" si="14"/>
        <v>0</v>
      </c>
      <c r="V70" s="119">
        <f t="shared" si="14"/>
        <v>0</v>
      </c>
      <c r="W70" s="119">
        <f t="shared" si="6"/>
        <v>0</v>
      </c>
      <c r="X70" s="119">
        <f t="shared" si="7"/>
        <v>0</v>
      </c>
      <c r="Y70" s="70"/>
      <c r="Z70" s="67">
        <f>+G70*tab!F$30</f>
        <v>0</v>
      </c>
      <c r="AA70" s="67">
        <f>+H70*tab!G$30</f>
        <v>0</v>
      </c>
      <c r="AB70" s="67">
        <f>+I70*tab!H$30</f>
        <v>0</v>
      </c>
      <c r="AC70" s="67">
        <f>+J70*tab!I$30</f>
        <v>0</v>
      </c>
      <c r="AD70" s="67">
        <f>+K70*tab!J$30</f>
        <v>0</v>
      </c>
      <c r="AE70" s="70"/>
      <c r="AF70" s="562">
        <v>0</v>
      </c>
      <c r="AG70" s="119">
        <f t="shared" si="9"/>
        <v>0</v>
      </c>
      <c r="AH70" s="119">
        <f t="shared" si="10"/>
        <v>0</v>
      </c>
      <c r="AI70" s="119">
        <f t="shared" si="11"/>
        <v>0</v>
      </c>
      <c r="AJ70" s="119">
        <f t="shared" si="12"/>
        <v>0</v>
      </c>
      <c r="AK70" s="792"/>
      <c r="AL70" s="1481"/>
    </row>
    <row r="71" spans="2:38" s="112" customFormat="1" x14ac:dyDescent="0.2">
      <c r="B71" s="132"/>
      <c r="C71" s="149"/>
      <c r="D71" s="49">
        <v>57</v>
      </c>
      <c r="E71" s="978" t="str">
        <f>+'Li O school'!E71</f>
        <v>school 57</v>
      </c>
      <c r="F71" s="978" t="str">
        <f>+'Li O school'!F71</f>
        <v>11AA</v>
      </c>
      <c r="G71" s="833">
        <f>'Li O school'!I71</f>
        <v>0</v>
      </c>
      <c r="H71" s="833">
        <f>'Li O school'!J71</f>
        <v>0</v>
      </c>
      <c r="I71" s="833">
        <f>'Li O school'!K71</f>
        <v>0</v>
      </c>
      <c r="J71" s="833">
        <f>'Li O school'!L71</f>
        <v>0</v>
      </c>
      <c r="K71" s="833">
        <f>'Li O school'!M71</f>
        <v>0</v>
      </c>
      <c r="L71" s="833">
        <f>'Li O school'!N71</f>
        <v>0</v>
      </c>
      <c r="M71" s="70"/>
      <c r="N71" s="67">
        <f>ROUND(G71*tab!F$26,2)</f>
        <v>0</v>
      </c>
      <c r="O71" s="67">
        <f>ROUND(H71*tab!G$26,2)</f>
        <v>0</v>
      </c>
      <c r="P71" s="67">
        <f>ROUND(I71*tab!H$26,2)</f>
        <v>0</v>
      </c>
      <c r="Q71" s="67">
        <f>ROUND(J71*tab!I$26,2)</f>
        <v>0</v>
      </c>
      <c r="R71" s="67">
        <f>ROUND(K71*tab!J$26,2)</f>
        <v>0</v>
      </c>
      <c r="S71" s="70"/>
      <c r="T71" s="119">
        <v>0</v>
      </c>
      <c r="U71" s="119">
        <f t="shared" si="14"/>
        <v>0</v>
      </c>
      <c r="V71" s="119">
        <f t="shared" si="14"/>
        <v>0</v>
      </c>
      <c r="W71" s="119">
        <f t="shared" si="6"/>
        <v>0</v>
      </c>
      <c r="X71" s="119">
        <f t="shared" si="7"/>
        <v>0</v>
      </c>
      <c r="Y71" s="70"/>
      <c r="Z71" s="67">
        <f>+G71*tab!F$30</f>
        <v>0</v>
      </c>
      <c r="AA71" s="67">
        <f>+H71*tab!G$30</f>
        <v>0</v>
      </c>
      <c r="AB71" s="67">
        <f>+I71*tab!H$30</f>
        <v>0</v>
      </c>
      <c r="AC71" s="67">
        <f>+J71*tab!I$30</f>
        <v>0</v>
      </c>
      <c r="AD71" s="67">
        <f>+K71*tab!J$30</f>
        <v>0</v>
      </c>
      <c r="AE71" s="70"/>
      <c r="AF71" s="562">
        <v>0</v>
      </c>
      <c r="AG71" s="119">
        <f t="shared" si="9"/>
        <v>0</v>
      </c>
      <c r="AH71" s="119">
        <f t="shared" si="10"/>
        <v>0</v>
      </c>
      <c r="AI71" s="119">
        <f t="shared" si="11"/>
        <v>0</v>
      </c>
      <c r="AJ71" s="119">
        <f t="shared" si="12"/>
        <v>0</v>
      </c>
      <c r="AK71" s="792"/>
      <c r="AL71" s="1481"/>
    </row>
    <row r="72" spans="2:38" s="112" customFormat="1" x14ac:dyDescent="0.2">
      <c r="B72" s="132"/>
      <c r="C72" s="149"/>
      <c r="D72" s="49">
        <v>58</v>
      </c>
      <c r="E72" s="978" t="str">
        <f>+'Li O school'!E72</f>
        <v>school 58</v>
      </c>
      <c r="F72" s="978" t="str">
        <f>+'Li O school'!F72</f>
        <v>11AA</v>
      </c>
      <c r="G72" s="833">
        <f>'Li O school'!I72</f>
        <v>0</v>
      </c>
      <c r="H72" s="833">
        <f>'Li O school'!J72</f>
        <v>0</v>
      </c>
      <c r="I72" s="833">
        <f>'Li O school'!K72</f>
        <v>0</v>
      </c>
      <c r="J72" s="833">
        <f>'Li O school'!L72</f>
        <v>0</v>
      </c>
      <c r="K72" s="833">
        <f>'Li O school'!M72</f>
        <v>0</v>
      </c>
      <c r="L72" s="833">
        <f>'Li O school'!N72</f>
        <v>0</v>
      </c>
      <c r="M72" s="70"/>
      <c r="N72" s="67">
        <f>ROUND(G72*tab!F$26,2)</f>
        <v>0</v>
      </c>
      <c r="O72" s="67">
        <f>ROUND(H72*tab!G$26,2)</f>
        <v>0</v>
      </c>
      <c r="P72" s="67">
        <f>ROUND(I72*tab!H$26,2)</f>
        <v>0</v>
      </c>
      <c r="Q72" s="67">
        <f>ROUND(J72*tab!I$26,2)</f>
        <v>0</v>
      </c>
      <c r="R72" s="67">
        <f>ROUND(K72*tab!J$26,2)</f>
        <v>0</v>
      </c>
      <c r="S72" s="70"/>
      <c r="T72" s="119">
        <v>0</v>
      </c>
      <c r="U72" s="119">
        <f t="shared" si="14"/>
        <v>0</v>
      </c>
      <c r="V72" s="119">
        <f t="shared" si="14"/>
        <v>0</v>
      </c>
      <c r="W72" s="119">
        <f t="shared" si="6"/>
        <v>0</v>
      </c>
      <c r="X72" s="119">
        <f t="shared" si="7"/>
        <v>0</v>
      </c>
      <c r="Y72" s="70"/>
      <c r="Z72" s="67">
        <f>+G72*tab!F$30</f>
        <v>0</v>
      </c>
      <c r="AA72" s="67">
        <f>+H72*tab!G$30</f>
        <v>0</v>
      </c>
      <c r="AB72" s="67">
        <f>+I72*tab!H$30</f>
        <v>0</v>
      </c>
      <c r="AC72" s="67">
        <f>+J72*tab!I$30</f>
        <v>0</v>
      </c>
      <c r="AD72" s="67">
        <f>+K72*tab!J$30</f>
        <v>0</v>
      </c>
      <c r="AE72" s="70"/>
      <c r="AF72" s="562">
        <v>0</v>
      </c>
      <c r="AG72" s="119">
        <f t="shared" si="9"/>
        <v>0</v>
      </c>
      <c r="AH72" s="119">
        <f t="shared" si="10"/>
        <v>0</v>
      </c>
      <c r="AI72" s="119">
        <f t="shared" si="11"/>
        <v>0</v>
      </c>
      <c r="AJ72" s="119">
        <f t="shared" si="12"/>
        <v>0</v>
      </c>
      <c r="AK72" s="792"/>
      <c r="AL72" s="1481"/>
    </row>
    <row r="73" spans="2:38" s="112" customFormat="1" x14ac:dyDescent="0.2">
      <c r="B73" s="132"/>
      <c r="C73" s="149"/>
      <c r="D73" s="49">
        <v>59</v>
      </c>
      <c r="E73" s="978" t="str">
        <f>+'Li O school'!E73</f>
        <v>school 59</v>
      </c>
      <c r="F73" s="978" t="str">
        <f>+'Li O school'!F73</f>
        <v>11AA</v>
      </c>
      <c r="G73" s="833">
        <f>'Li O school'!I73</f>
        <v>0</v>
      </c>
      <c r="H73" s="833">
        <f>'Li O school'!J73</f>
        <v>0</v>
      </c>
      <c r="I73" s="833">
        <f>'Li O school'!K73</f>
        <v>0</v>
      </c>
      <c r="J73" s="833">
        <f>'Li O school'!L73</f>
        <v>0</v>
      </c>
      <c r="K73" s="833">
        <f>'Li O school'!M73</f>
        <v>0</v>
      </c>
      <c r="L73" s="833">
        <f>'Li O school'!N73</f>
        <v>0</v>
      </c>
      <c r="M73" s="70"/>
      <c r="N73" s="67">
        <f>ROUND(G73*tab!F$26,2)</f>
        <v>0</v>
      </c>
      <c r="O73" s="67">
        <f>ROUND(H73*tab!G$26,2)</f>
        <v>0</v>
      </c>
      <c r="P73" s="67">
        <f>ROUND(I73*tab!H$26,2)</f>
        <v>0</v>
      </c>
      <c r="Q73" s="67">
        <f>ROUND(J73*tab!I$26,2)</f>
        <v>0</v>
      </c>
      <c r="R73" s="67">
        <f>ROUND(K73*tab!J$26,2)</f>
        <v>0</v>
      </c>
      <c r="S73" s="70"/>
      <c r="T73" s="119">
        <v>0</v>
      </c>
      <c r="U73" s="119">
        <f t="shared" si="14"/>
        <v>0</v>
      </c>
      <c r="V73" s="119">
        <f t="shared" si="14"/>
        <v>0</v>
      </c>
      <c r="W73" s="119">
        <f t="shared" si="6"/>
        <v>0</v>
      </c>
      <c r="X73" s="119">
        <f t="shared" si="7"/>
        <v>0</v>
      </c>
      <c r="Y73" s="70"/>
      <c r="Z73" s="67">
        <f>+G73*tab!F$30</f>
        <v>0</v>
      </c>
      <c r="AA73" s="67">
        <f>+H73*tab!G$30</f>
        <v>0</v>
      </c>
      <c r="AB73" s="67">
        <f>+I73*tab!H$30</f>
        <v>0</v>
      </c>
      <c r="AC73" s="67">
        <f>+J73*tab!I$30</f>
        <v>0</v>
      </c>
      <c r="AD73" s="67">
        <f>+K73*tab!J$30</f>
        <v>0</v>
      </c>
      <c r="AE73" s="70"/>
      <c r="AF73" s="562">
        <v>0</v>
      </c>
      <c r="AG73" s="119">
        <f t="shared" si="9"/>
        <v>0</v>
      </c>
      <c r="AH73" s="119">
        <f t="shared" si="10"/>
        <v>0</v>
      </c>
      <c r="AI73" s="119">
        <f t="shared" si="11"/>
        <v>0</v>
      </c>
      <c r="AJ73" s="119">
        <f t="shared" si="12"/>
        <v>0</v>
      </c>
      <c r="AK73" s="792"/>
      <c r="AL73" s="1481"/>
    </row>
    <row r="74" spans="2:38" s="112" customFormat="1" x14ac:dyDescent="0.2">
      <c r="B74" s="132"/>
      <c r="C74" s="149"/>
      <c r="D74" s="49">
        <v>60</v>
      </c>
      <c r="E74" s="978" t="str">
        <f>+'Li O school'!E74</f>
        <v>school 60</v>
      </c>
      <c r="F74" s="978" t="str">
        <f>+'Li O school'!F74</f>
        <v>11AA</v>
      </c>
      <c r="G74" s="833">
        <f>'Li O school'!I74</f>
        <v>0</v>
      </c>
      <c r="H74" s="833">
        <f>'Li O school'!J74</f>
        <v>0</v>
      </c>
      <c r="I74" s="833">
        <f>'Li O school'!K74</f>
        <v>0</v>
      </c>
      <c r="J74" s="833">
        <f>'Li O school'!L74</f>
        <v>0</v>
      </c>
      <c r="K74" s="833">
        <f>'Li O school'!M74</f>
        <v>0</v>
      </c>
      <c r="L74" s="833">
        <f>'Li O school'!N74</f>
        <v>0</v>
      </c>
      <c r="M74" s="70"/>
      <c r="N74" s="67">
        <f>ROUND(G74*tab!F$26,2)</f>
        <v>0</v>
      </c>
      <c r="O74" s="67">
        <f>ROUND(H74*tab!G$26,2)</f>
        <v>0</v>
      </c>
      <c r="P74" s="67">
        <f>ROUND(I74*tab!H$26,2)</f>
        <v>0</v>
      </c>
      <c r="Q74" s="67">
        <f>ROUND(J74*tab!I$26,2)</f>
        <v>0</v>
      </c>
      <c r="R74" s="67">
        <f>ROUND(K74*tab!J$26,2)</f>
        <v>0</v>
      </c>
      <c r="S74" s="70"/>
      <c r="T74" s="119">
        <v>0</v>
      </c>
      <c r="U74" s="119">
        <f t="shared" si="14"/>
        <v>0</v>
      </c>
      <c r="V74" s="119">
        <f t="shared" si="14"/>
        <v>0</v>
      </c>
      <c r="W74" s="119">
        <f t="shared" si="6"/>
        <v>0</v>
      </c>
      <c r="X74" s="119">
        <f t="shared" si="7"/>
        <v>0</v>
      </c>
      <c r="Y74" s="70"/>
      <c r="Z74" s="67">
        <f>+G74*tab!F$30</f>
        <v>0</v>
      </c>
      <c r="AA74" s="67">
        <f>+H74*tab!G$30</f>
        <v>0</v>
      </c>
      <c r="AB74" s="67">
        <f>+I74*tab!H$30</f>
        <v>0</v>
      </c>
      <c r="AC74" s="67">
        <f>+J74*tab!I$30</f>
        <v>0</v>
      </c>
      <c r="AD74" s="67">
        <f>+K74*tab!J$30</f>
        <v>0</v>
      </c>
      <c r="AE74" s="70"/>
      <c r="AF74" s="562">
        <v>0</v>
      </c>
      <c r="AG74" s="119">
        <f t="shared" si="9"/>
        <v>0</v>
      </c>
      <c r="AH74" s="119">
        <f t="shared" si="10"/>
        <v>0</v>
      </c>
      <c r="AI74" s="119">
        <f t="shared" si="11"/>
        <v>0</v>
      </c>
      <c r="AJ74" s="119">
        <f t="shared" si="12"/>
        <v>0</v>
      </c>
      <c r="AK74" s="792"/>
      <c r="AL74" s="1481"/>
    </row>
    <row r="75" spans="2:38" s="112" customFormat="1" x14ac:dyDescent="0.2">
      <c r="B75" s="132"/>
      <c r="C75" s="149"/>
      <c r="D75" s="49">
        <v>61</v>
      </c>
      <c r="E75" s="978" t="str">
        <f>+'Li O school'!E75</f>
        <v>school 61</v>
      </c>
      <c r="F75" s="978" t="str">
        <f>+'Li O school'!F75</f>
        <v>11AA</v>
      </c>
      <c r="G75" s="833">
        <f>'Li O school'!I75</f>
        <v>0</v>
      </c>
      <c r="H75" s="833">
        <f>'Li O school'!J75</f>
        <v>0</v>
      </c>
      <c r="I75" s="833">
        <f>'Li O school'!K75</f>
        <v>0</v>
      </c>
      <c r="J75" s="833">
        <f>'Li O school'!L75</f>
        <v>0</v>
      </c>
      <c r="K75" s="833">
        <f>'Li O school'!M75</f>
        <v>0</v>
      </c>
      <c r="L75" s="833">
        <f>'Li O school'!N75</f>
        <v>0</v>
      </c>
      <c r="M75" s="70"/>
      <c r="N75" s="67">
        <f>ROUND(G75*tab!F$26,2)</f>
        <v>0</v>
      </c>
      <c r="O75" s="67">
        <f>ROUND(H75*tab!G$26,2)</f>
        <v>0</v>
      </c>
      <c r="P75" s="67">
        <f>ROUND(I75*tab!H$26,2)</f>
        <v>0</v>
      </c>
      <c r="Q75" s="67">
        <f>ROUND(J75*tab!I$26,2)</f>
        <v>0</v>
      </c>
      <c r="R75" s="67">
        <f>ROUND(K75*tab!J$26,2)</f>
        <v>0</v>
      </c>
      <c r="S75" s="70"/>
      <c r="T75" s="119">
        <v>0</v>
      </c>
      <c r="U75" s="119">
        <f t="shared" ref="U75:V94" si="15">T75</f>
        <v>0</v>
      </c>
      <c r="V75" s="119">
        <f t="shared" si="15"/>
        <v>0</v>
      </c>
      <c r="W75" s="119">
        <f t="shared" si="6"/>
        <v>0</v>
      </c>
      <c r="X75" s="119">
        <f t="shared" si="7"/>
        <v>0</v>
      </c>
      <c r="Y75" s="70"/>
      <c r="Z75" s="67">
        <f>+G75*tab!F$30</f>
        <v>0</v>
      </c>
      <c r="AA75" s="67">
        <f>+H75*tab!G$30</f>
        <v>0</v>
      </c>
      <c r="AB75" s="67">
        <f>+I75*tab!H$30</f>
        <v>0</v>
      </c>
      <c r="AC75" s="67">
        <f>+J75*tab!I$30</f>
        <v>0</v>
      </c>
      <c r="AD75" s="67">
        <f>+K75*tab!J$30</f>
        <v>0</v>
      </c>
      <c r="AE75" s="70"/>
      <c r="AF75" s="562">
        <v>0</v>
      </c>
      <c r="AG75" s="119">
        <f t="shared" si="9"/>
        <v>0</v>
      </c>
      <c r="AH75" s="119">
        <f t="shared" si="10"/>
        <v>0</v>
      </c>
      <c r="AI75" s="119">
        <f t="shared" si="11"/>
        <v>0</v>
      </c>
      <c r="AJ75" s="119">
        <f t="shared" si="12"/>
        <v>0</v>
      </c>
      <c r="AK75" s="792"/>
      <c r="AL75" s="1481"/>
    </row>
    <row r="76" spans="2:38" s="112" customFormat="1" x14ac:dyDescent="0.2">
      <c r="B76" s="132"/>
      <c r="C76" s="149"/>
      <c r="D76" s="49">
        <v>62</v>
      </c>
      <c r="E76" s="978" t="str">
        <f>+'Li O school'!E76</f>
        <v>school 62</v>
      </c>
      <c r="F76" s="978" t="str">
        <f>+'Li O school'!F76</f>
        <v>11AA</v>
      </c>
      <c r="G76" s="833">
        <f>'Li O school'!I76</f>
        <v>0</v>
      </c>
      <c r="H76" s="833">
        <f>'Li O school'!J76</f>
        <v>0</v>
      </c>
      <c r="I76" s="833">
        <f>'Li O school'!K76</f>
        <v>0</v>
      </c>
      <c r="J76" s="833">
        <f>'Li O school'!L76</f>
        <v>0</v>
      </c>
      <c r="K76" s="833">
        <f>'Li O school'!M76</f>
        <v>0</v>
      </c>
      <c r="L76" s="833">
        <f>'Li O school'!N76</f>
        <v>0</v>
      </c>
      <c r="M76" s="70"/>
      <c r="N76" s="67">
        <f>ROUND(G76*tab!F$26,2)</f>
        <v>0</v>
      </c>
      <c r="O76" s="67">
        <f>ROUND(H76*tab!G$26,2)</f>
        <v>0</v>
      </c>
      <c r="P76" s="67">
        <f>ROUND(I76*tab!H$26,2)</f>
        <v>0</v>
      </c>
      <c r="Q76" s="67">
        <f>ROUND(J76*tab!I$26,2)</f>
        <v>0</v>
      </c>
      <c r="R76" s="67">
        <f>ROUND(K76*tab!J$26,2)</f>
        <v>0</v>
      </c>
      <c r="S76" s="70"/>
      <c r="T76" s="119">
        <v>0</v>
      </c>
      <c r="U76" s="119">
        <f t="shared" si="15"/>
        <v>0</v>
      </c>
      <c r="V76" s="119">
        <f t="shared" si="15"/>
        <v>0</v>
      </c>
      <c r="W76" s="119">
        <f t="shared" si="6"/>
        <v>0</v>
      </c>
      <c r="X76" s="119">
        <f t="shared" si="7"/>
        <v>0</v>
      </c>
      <c r="Y76" s="70"/>
      <c r="Z76" s="67">
        <f>+G76*tab!F$30</f>
        <v>0</v>
      </c>
      <c r="AA76" s="67">
        <f>+H76*tab!G$30</f>
        <v>0</v>
      </c>
      <c r="AB76" s="67">
        <f>+I76*tab!H$30</f>
        <v>0</v>
      </c>
      <c r="AC76" s="67">
        <f>+J76*tab!I$30</f>
        <v>0</v>
      </c>
      <c r="AD76" s="67">
        <f>+K76*tab!J$30</f>
        <v>0</v>
      </c>
      <c r="AE76" s="70"/>
      <c r="AF76" s="562">
        <v>0</v>
      </c>
      <c r="AG76" s="119">
        <f t="shared" si="9"/>
        <v>0</v>
      </c>
      <c r="AH76" s="119">
        <f t="shared" si="10"/>
        <v>0</v>
      </c>
      <c r="AI76" s="119">
        <f t="shared" si="11"/>
        <v>0</v>
      </c>
      <c r="AJ76" s="119">
        <f t="shared" si="12"/>
        <v>0</v>
      </c>
      <c r="AK76" s="792"/>
      <c r="AL76" s="1481"/>
    </row>
    <row r="77" spans="2:38" s="112" customFormat="1" x14ac:dyDescent="0.2">
      <c r="B77" s="132"/>
      <c r="C77" s="149"/>
      <c r="D77" s="49">
        <v>63</v>
      </c>
      <c r="E77" s="978" t="str">
        <f>+'Li O school'!E77</f>
        <v>school 63</v>
      </c>
      <c r="F77" s="978" t="str">
        <f>+'Li O school'!F77</f>
        <v>11AA</v>
      </c>
      <c r="G77" s="833">
        <f>'Li O school'!I77</f>
        <v>0</v>
      </c>
      <c r="H77" s="833">
        <f>'Li O school'!J77</f>
        <v>0</v>
      </c>
      <c r="I77" s="833">
        <f>'Li O school'!K77</f>
        <v>0</v>
      </c>
      <c r="J77" s="833">
        <f>'Li O school'!L77</f>
        <v>0</v>
      </c>
      <c r="K77" s="833">
        <f>'Li O school'!M77</f>
        <v>0</v>
      </c>
      <c r="L77" s="833">
        <f>'Li O school'!N77</f>
        <v>0</v>
      </c>
      <c r="M77" s="70"/>
      <c r="N77" s="67">
        <f>ROUND(G77*tab!F$26,2)</f>
        <v>0</v>
      </c>
      <c r="O77" s="67">
        <f>ROUND(H77*tab!G$26,2)</f>
        <v>0</v>
      </c>
      <c r="P77" s="67">
        <f>ROUND(I77*tab!H$26,2)</f>
        <v>0</v>
      </c>
      <c r="Q77" s="67">
        <f>ROUND(J77*tab!I$26,2)</f>
        <v>0</v>
      </c>
      <c r="R77" s="67">
        <f>ROUND(K77*tab!J$26,2)</f>
        <v>0</v>
      </c>
      <c r="S77" s="70"/>
      <c r="T77" s="119">
        <v>0</v>
      </c>
      <c r="U77" s="119">
        <f t="shared" si="15"/>
        <v>0</v>
      </c>
      <c r="V77" s="119">
        <f t="shared" si="15"/>
        <v>0</v>
      </c>
      <c r="W77" s="119">
        <f t="shared" si="6"/>
        <v>0</v>
      </c>
      <c r="X77" s="119">
        <f t="shared" si="7"/>
        <v>0</v>
      </c>
      <c r="Y77" s="70"/>
      <c r="Z77" s="67">
        <f>+G77*tab!F$30</f>
        <v>0</v>
      </c>
      <c r="AA77" s="67">
        <f>+H77*tab!G$30</f>
        <v>0</v>
      </c>
      <c r="AB77" s="67">
        <f>+I77*tab!H$30</f>
        <v>0</v>
      </c>
      <c r="AC77" s="67">
        <f>+J77*tab!I$30</f>
        <v>0</v>
      </c>
      <c r="AD77" s="67">
        <f>+K77*tab!J$30</f>
        <v>0</v>
      </c>
      <c r="AE77" s="70"/>
      <c r="AF77" s="562">
        <v>0</v>
      </c>
      <c r="AG77" s="119">
        <f t="shared" si="9"/>
        <v>0</v>
      </c>
      <c r="AH77" s="119">
        <f t="shared" si="10"/>
        <v>0</v>
      </c>
      <c r="AI77" s="119">
        <f t="shared" si="11"/>
        <v>0</v>
      </c>
      <c r="AJ77" s="119">
        <f t="shared" si="12"/>
        <v>0</v>
      </c>
      <c r="AK77" s="792"/>
      <c r="AL77" s="1481"/>
    </row>
    <row r="78" spans="2:38" s="112" customFormat="1" x14ac:dyDescent="0.2">
      <c r="B78" s="132"/>
      <c r="C78" s="149"/>
      <c r="D78" s="49">
        <v>64</v>
      </c>
      <c r="E78" s="978" t="str">
        <f>+'Li O school'!E78</f>
        <v>school 64</v>
      </c>
      <c r="F78" s="978" t="str">
        <f>+'Li O school'!F78</f>
        <v>11AA</v>
      </c>
      <c r="G78" s="833">
        <f>'Li O school'!I78</f>
        <v>0</v>
      </c>
      <c r="H78" s="833">
        <f>'Li O school'!J78</f>
        <v>0</v>
      </c>
      <c r="I78" s="833">
        <f>'Li O school'!K78</f>
        <v>0</v>
      </c>
      <c r="J78" s="833">
        <f>'Li O school'!L78</f>
        <v>0</v>
      </c>
      <c r="K78" s="833">
        <f>'Li O school'!M78</f>
        <v>0</v>
      </c>
      <c r="L78" s="833">
        <f>'Li O school'!N78</f>
        <v>0</v>
      </c>
      <c r="M78" s="70"/>
      <c r="N78" s="67">
        <f>ROUND(G78*tab!F$26,2)</f>
        <v>0</v>
      </c>
      <c r="O78" s="67">
        <f>ROUND(H78*tab!G$26,2)</f>
        <v>0</v>
      </c>
      <c r="P78" s="67">
        <f>ROUND(I78*tab!H$26,2)</f>
        <v>0</v>
      </c>
      <c r="Q78" s="67">
        <f>ROUND(J78*tab!I$26,2)</f>
        <v>0</v>
      </c>
      <c r="R78" s="67">
        <f>ROUND(K78*tab!J$26,2)</f>
        <v>0</v>
      </c>
      <c r="S78" s="70"/>
      <c r="T78" s="119">
        <v>0</v>
      </c>
      <c r="U78" s="119">
        <f t="shared" si="15"/>
        <v>0</v>
      </c>
      <c r="V78" s="119">
        <f t="shared" si="15"/>
        <v>0</v>
      </c>
      <c r="W78" s="119">
        <f t="shared" si="6"/>
        <v>0</v>
      </c>
      <c r="X78" s="119">
        <f t="shared" si="7"/>
        <v>0</v>
      </c>
      <c r="Y78" s="70"/>
      <c r="Z78" s="67">
        <f>+G78*tab!F$30</f>
        <v>0</v>
      </c>
      <c r="AA78" s="67">
        <f>+H78*tab!G$30</f>
        <v>0</v>
      </c>
      <c r="AB78" s="67">
        <f>+I78*tab!H$30</f>
        <v>0</v>
      </c>
      <c r="AC78" s="67">
        <f>+J78*tab!I$30</f>
        <v>0</v>
      </c>
      <c r="AD78" s="67">
        <f>+K78*tab!J$30</f>
        <v>0</v>
      </c>
      <c r="AE78" s="70"/>
      <c r="AF78" s="562">
        <v>0</v>
      </c>
      <c r="AG78" s="119">
        <f t="shared" si="9"/>
        <v>0</v>
      </c>
      <c r="AH78" s="119">
        <f t="shared" si="10"/>
        <v>0</v>
      </c>
      <c r="AI78" s="119">
        <f t="shared" si="11"/>
        <v>0</v>
      </c>
      <c r="AJ78" s="119">
        <f t="shared" si="12"/>
        <v>0</v>
      </c>
      <c r="AK78" s="792"/>
      <c r="AL78" s="1481"/>
    </row>
    <row r="79" spans="2:38" s="112" customFormat="1" x14ac:dyDescent="0.2">
      <c r="B79" s="132"/>
      <c r="C79" s="149"/>
      <c r="D79" s="49">
        <v>65</v>
      </c>
      <c r="E79" s="978" t="str">
        <f>+'Li O school'!E79</f>
        <v>school 65</v>
      </c>
      <c r="F79" s="978" t="str">
        <f>+'Li O school'!F79</f>
        <v>11AA</v>
      </c>
      <c r="G79" s="833">
        <f>'Li O school'!I79</f>
        <v>0</v>
      </c>
      <c r="H79" s="833">
        <f>'Li O school'!J79</f>
        <v>0</v>
      </c>
      <c r="I79" s="833">
        <f>'Li O school'!K79</f>
        <v>0</v>
      </c>
      <c r="J79" s="833">
        <f>'Li O school'!L79</f>
        <v>0</v>
      </c>
      <c r="K79" s="833">
        <f>'Li O school'!M79</f>
        <v>0</v>
      </c>
      <c r="L79" s="833">
        <f>'Li O school'!N79</f>
        <v>0</v>
      </c>
      <c r="M79" s="70"/>
      <c r="N79" s="67">
        <f>ROUND(G79*tab!F$26,2)</f>
        <v>0</v>
      </c>
      <c r="O79" s="67">
        <f>ROUND(H79*tab!G$26,2)</f>
        <v>0</v>
      </c>
      <c r="P79" s="67">
        <f>ROUND(I79*tab!H$26,2)</f>
        <v>0</v>
      </c>
      <c r="Q79" s="67">
        <f>ROUND(J79*tab!I$26,2)</f>
        <v>0</v>
      </c>
      <c r="R79" s="67">
        <f>ROUND(K79*tab!J$26,2)</f>
        <v>0</v>
      </c>
      <c r="S79" s="70"/>
      <c r="T79" s="119">
        <v>0</v>
      </c>
      <c r="U79" s="119">
        <f t="shared" si="15"/>
        <v>0</v>
      </c>
      <c r="V79" s="119">
        <f t="shared" si="15"/>
        <v>0</v>
      </c>
      <c r="W79" s="119">
        <f t="shared" ref="W79:W139" si="16">V79</f>
        <v>0</v>
      </c>
      <c r="X79" s="119">
        <f t="shared" ref="X79:X139" si="17">W79</f>
        <v>0</v>
      </c>
      <c r="Y79" s="70"/>
      <c r="Z79" s="67">
        <f>+G79*tab!F$30</f>
        <v>0</v>
      </c>
      <c r="AA79" s="67">
        <f>+H79*tab!G$30</f>
        <v>0</v>
      </c>
      <c r="AB79" s="67">
        <f>+I79*tab!H$30</f>
        <v>0</v>
      </c>
      <c r="AC79" s="67">
        <f>+J79*tab!I$30</f>
        <v>0</v>
      </c>
      <c r="AD79" s="67">
        <f>+K79*tab!J$30</f>
        <v>0</v>
      </c>
      <c r="AE79" s="70"/>
      <c r="AF79" s="562">
        <v>0</v>
      </c>
      <c r="AG79" s="119">
        <f t="shared" si="9"/>
        <v>0</v>
      </c>
      <c r="AH79" s="119">
        <f t="shared" si="10"/>
        <v>0</v>
      </c>
      <c r="AI79" s="119">
        <f t="shared" si="11"/>
        <v>0</v>
      </c>
      <c r="AJ79" s="119">
        <f t="shared" si="12"/>
        <v>0</v>
      </c>
      <c r="AK79" s="792"/>
      <c r="AL79" s="1481"/>
    </row>
    <row r="80" spans="2:38" s="112" customFormat="1" x14ac:dyDescent="0.2">
      <c r="B80" s="132"/>
      <c r="C80" s="149"/>
      <c r="D80" s="49">
        <v>66</v>
      </c>
      <c r="E80" s="978" t="str">
        <f>+'Li O school'!E80</f>
        <v>school 66</v>
      </c>
      <c r="F80" s="978" t="str">
        <f>+'Li O school'!F80</f>
        <v>11AA</v>
      </c>
      <c r="G80" s="833">
        <f>'Li O school'!I80</f>
        <v>0</v>
      </c>
      <c r="H80" s="833">
        <f>'Li O school'!J80</f>
        <v>0</v>
      </c>
      <c r="I80" s="833">
        <f>'Li O school'!K80</f>
        <v>0</v>
      </c>
      <c r="J80" s="833">
        <f>'Li O school'!L80</f>
        <v>0</v>
      </c>
      <c r="K80" s="833">
        <f>'Li O school'!M80</f>
        <v>0</v>
      </c>
      <c r="L80" s="833">
        <f>'Li O school'!N80</f>
        <v>0</v>
      </c>
      <c r="M80" s="70"/>
      <c r="N80" s="67">
        <f>ROUND(G80*tab!F$26,2)</f>
        <v>0</v>
      </c>
      <c r="O80" s="67">
        <f>ROUND(H80*tab!G$26,2)</f>
        <v>0</v>
      </c>
      <c r="P80" s="67">
        <f>ROUND(I80*tab!H$26,2)</f>
        <v>0</v>
      </c>
      <c r="Q80" s="67">
        <f>ROUND(J80*tab!I$26,2)</f>
        <v>0</v>
      </c>
      <c r="R80" s="67">
        <f>ROUND(K80*tab!J$26,2)</f>
        <v>0</v>
      </c>
      <c r="S80" s="70"/>
      <c r="T80" s="119">
        <v>0</v>
      </c>
      <c r="U80" s="119">
        <f t="shared" si="15"/>
        <v>0</v>
      </c>
      <c r="V80" s="119">
        <f t="shared" si="15"/>
        <v>0</v>
      </c>
      <c r="W80" s="119">
        <f t="shared" si="16"/>
        <v>0</v>
      </c>
      <c r="X80" s="119">
        <f t="shared" si="17"/>
        <v>0</v>
      </c>
      <c r="Y80" s="70"/>
      <c r="Z80" s="67">
        <f>+G80*tab!F$30</f>
        <v>0</v>
      </c>
      <c r="AA80" s="67">
        <f>+H80*tab!G$30</f>
        <v>0</v>
      </c>
      <c r="AB80" s="67">
        <f>+I80*tab!H$30</f>
        <v>0</v>
      </c>
      <c r="AC80" s="67">
        <f>+J80*tab!I$30</f>
        <v>0</v>
      </c>
      <c r="AD80" s="67">
        <f>+K80*tab!J$30</f>
        <v>0</v>
      </c>
      <c r="AE80" s="70"/>
      <c r="AF80" s="562">
        <v>0</v>
      </c>
      <c r="AG80" s="119">
        <f t="shared" si="9"/>
        <v>0</v>
      </c>
      <c r="AH80" s="119">
        <f t="shared" si="10"/>
        <v>0</v>
      </c>
      <c r="AI80" s="119">
        <f t="shared" si="11"/>
        <v>0</v>
      </c>
      <c r="AJ80" s="119">
        <f t="shared" si="12"/>
        <v>0</v>
      </c>
      <c r="AK80" s="792"/>
      <c r="AL80" s="1481"/>
    </row>
    <row r="81" spans="2:38" s="112" customFormat="1" x14ac:dyDescent="0.2">
      <c r="B81" s="132"/>
      <c r="C81" s="149"/>
      <c r="D81" s="49">
        <v>67</v>
      </c>
      <c r="E81" s="978" t="str">
        <f>+'Li O school'!E81</f>
        <v>school 67</v>
      </c>
      <c r="F81" s="978" t="str">
        <f>+'Li O school'!F81</f>
        <v>11AA</v>
      </c>
      <c r="G81" s="833">
        <f>'Li O school'!I81</f>
        <v>0</v>
      </c>
      <c r="H81" s="833">
        <f>'Li O school'!J81</f>
        <v>0</v>
      </c>
      <c r="I81" s="833">
        <f>'Li O school'!K81</f>
        <v>0</v>
      </c>
      <c r="J81" s="833">
        <f>'Li O school'!L81</f>
        <v>0</v>
      </c>
      <c r="K81" s="833">
        <f>'Li O school'!M81</f>
        <v>0</v>
      </c>
      <c r="L81" s="833">
        <f>'Li O school'!N81</f>
        <v>0</v>
      </c>
      <c r="M81" s="70"/>
      <c r="N81" s="67">
        <f>ROUND(G81*tab!F$26,2)</f>
        <v>0</v>
      </c>
      <c r="O81" s="67">
        <f>ROUND(H81*tab!G$26,2)</f>
        <v>0</v>
      </c>
      <c r="P81" s="67">
        <f>ROUND(I81*tab!H$26,2)</f>
        <v>0</v>
      </c>
      <c r="Q81" s="67">
        <f>ROUND(J81*tab!I$26,2)</f>
        <v>0</v>
      </c>
      <c r="R81" s="67">
        <f>ROUND(K81*tab!J$26,2)</f>
        <v>0</v>
      </c>
      <c r="S81" s="70"/>
      <c r="T81" s="119">
        <v>0</v>
      </c>
      <c r="U81" s="119">
        <f t="shared" si="15"/>
        <v>0</v>
      </c>
      <c r="V81" s="119">
        <f t="shared" si="15"/>
        <v>0</v>
      </c>
      <c r="W81" s="119">
        <f t="shared" si="16"/>
        <v>0</v>
      </c>
      <c r="X81" s="119">
        <f t="shared" si="17"/>
        <v>0</v>
      </c>
      <c r="Y81" s="70"/>
      <c r="Z81" s="67">
        <f>+G81*tab!F$30</f>
        <v>0</v>
      </c>
      <c r="AA81" s="67">
        <f>+H81*tab!G$30</f>
        <v>0</v>
      </c>
      <c r="AB81" s="67">
        <f>+I81*tab!H$30</f>
        <v>0</v>
      </c>
      <c r="AC81" s="67">
        <f>+J81*tab!I$30</f>
        <v>0</v>
      </c>
      <c r="AD81" s="67">
        <f>+K81*tab!J$30</f>
        <v>0</v>
      </c>
      <c r="AE81" s="70"/>
      <c r="AF81" s="562">
        <v>0</v>
      </c>
      <c r="AG81" s="119">
        <f t="shared" si="9"/>
        <v>0</v>
      </c>
      <c r="AH81" s="119">
        <f t="shared" si="10"/>
        <v>0</v>
      </c>
      <c r="AI81" s="119">
        <f t="shared" si="11"/>
        <v>0</v>
      </c>
      <c r="AJ81" s="119">
        <f t="shared" si="12"/>
        <v>0</v>
      </c>
      <c r="AK81" s="792"/>
      <c r="AL81" s="1481"/>
    </row>
    <row r="82" spans="2:38" s="112" customFormat="1" x14ac:dyDescent="0.2">
      <c r="B82" s="132"/>
      <c r="C82" s="149"/>
      <c r="D82" s="49">
        <v>68</v>
      </c>
      <c r="E82" s="978" t="str">
        <f>+'Li O school'!E82</f>
        <v>school 68</v>
      </c>
      <c r="F82" s="978" t="str">
        <f>+'Li O school'!F82</f>
        <v>11AA</v>
      </c>
      <c r="G82" s="833">
        <f>'Li O school'!I82</f>
        <v>0</v>
      </c>
      <c r="H82" s="833">
        <f>'Li O school'!J82</f>
        <v>0</v>
      </c>
      <c r="I82" s="833">
        <f>'Li O school'!K82</f>
        <v>0</v>
      </c>
      <c r="J82" s="833">
        <f>'Li O school'!L82</f>
        <v>0</v>
      </c>
      <c r="K82" s="833">
        <f>'Li O school'!M82</f>
        <v>0</v>
      </c>
      <c r="L82" s="833">
        <f>'Li O school'!N82</f>
        <v>0</v>
      </c>
      <c r="M82" s="70"/>
      <c r="N82" s="67">
        <f>ROUND(G82*tab!F$26,2)</f>
        <v>0</v>
      </c>
      <c r="O82" s="67">
        <f>ROUND(H82*tab!G$26,2)</f>
        <v>0</v>
      </c>
      <c r="P82" s="67">
        <f>ROUND(I82*tab!H$26,2)</f>
        <v>0</v>
      </c>
      <c r="Q82" s="67">
        <f>ROUND(J82*tab!I$26,2)</f>
        <v>0</v>
      </c>
      <c r="R82" s="67">
        <f>ROUND(K82*tab!J$26,2)</f>
        <v>0</v>
      </c>
      <c r="S82" s="70"/>
      <c r="T82" s="119">
        <v>0</v>
      </c>
      <c r="U82" s="119">
        <f t="shared" si="15"/>
        <v>0</v>
      </c>
      <c r="V82" s="119">
        <f t="shared" si="15"/>
        <v>0</v>
      </c>
      <c r="W82" s="119">
        <f t="shared" si="16"/>
        <v>0</v>
      </c>
      <c r="X82" s="119">
        <f t="shared" si="17"/>
        <v>0</v>
      </c>
      <c r="Y82" s="70"/>
      <c r="Z82" s="67">
        <f>+G82*tab!F$30</f>
        <v>0</v>
      </c>
      <c r="AA82" s="67">
        <f>+H82*tab!G$30</f>
        <v>0</v>
      </c>
      <c r="AB82" s="67">
        <f>+I82*tab!H$30</f>
        <v>0</v>
      </c>
      <c r="AC82" s="67">
        <f>+J82*tab!I$30</f>
        <v>0</v>
      </c>
      <c r="AD82" s="67">
        <f>+K82*tab!J$30</f>
        <v>0</v>
      </c>
      <c r="AE82" s="70"/>
      <c r="AF82" s="562">
        <v>0</v>
      </c>
      <c r="AG82" s="119">
        <f t="shared" si="9"/>
        <v>0</v>
      </c>
      <c r="AH82" s="119">
        <f t="shared" si="10"/>
        <v>0</v>
      </c>
      <c r="AI82" s="119">
        <f t="shared" si="11"/>
        <v>0</v>
      </c>
      <c r="AJ82" s="119">
        <f t="shared" si="12"/>
        <v>0</v>
      </c>
      <c r="AK82" s="792"/>
      <c r="AL82" s="1481"/>
    </row>
    <row r="83" spans="2:38" s="112" customFormat="1" x14ac:dyDescent="0.2">
      <c r="B83" s="132"/>
      <c r="C83" s="149"/>
      <c r="D83" s="49">
        <v>69</v>
      </c>
      <c r="E83" s="978" t="str">
        <f>+'Li O school'!E83</f>
        <v>school 69</v>
      </c>
      <c r="F83" s="978" t="str">
        <f>+'Li O school'!F83</f>
        <v>11AA</v>
      </c>
      <c r="G83" s="833">
        <f>'Li O school'!I83</f>
        <v>0</v>
      </c>
      <c r="H83" s="833">
        <f>'Li O school'!J83</f>
        <v>0</v>
      </c>
      <c r="I83" s="833">
        <f>'Li O school'!K83</f>
        <v>0</v>
      </c>
      <c r="J83" s="833">
        <f>'Li O school'!L83</f>
        <v>0</v>
      </c>
      <c r="K83" s="833">
        <f>'Li O school'!M83</f>
        <v>0</v>
      </c>
      <c r="L83" s="833">
        <f>'Li O school'!N83</f>
        <v>0</v>
      </c>
      <c r="M83" s="70"/>
      <c r="N83" s="67">
        <f>ROUND(G83*tab!F$26,2)</f>
        <v>0</v>
      </c>
      <c r="O83" s="67">
        <f>ROUND(H83*tab!G$26,2)</f>
        <v>0</v>
      </c>
      <c r="P83" s="67">
        <f>ROUND(I83*tab!H$26,2)</f>
        <v>0</v>
      </c>
      <c r="Q83" s="67">
        <f>ROUND(J83*tab!I$26,2)</f>
        <v>0</v>
      </c>
      <c r="R83" s="67">
        <f>ROUND(K83*tab!J$26,2)</f>
        <v>0</v>
      </c>
      <c r="S83" s="70"/>
      <c r="T83" s="119">
        <v>0</v>
      </c>
      <c r="U83" s="119">
        <f t="shared" si="15"/>
        <v>0</v>
      </c>
      <c r="V83" s="119">
        <f t="shared" si="15"/>
        <v>0</v>
      </c>
      <c r="W83" s="119">
        <f t="shared" si="16"/>
        <v>0</v>
      </c>
      <c r="X83" s="119">
        <f t="shared" si="17"/>
        <v>0</v>
      </c>
      <c r="Y83" s="70"/>
      <c r="Z83" s="67">
        <f>+G83*tab!F$30</f>
        <v>0</v>
      </c>
      <c r="AA83" s="67">
        <f>+H83*tab!G$30</f>
        <v>0</v>
      </c>
      <c r="AB83" s="67">
        <f>+I83*tab!H$30</f>
        <v>0</v>
      </c>
      <c r="AC83" s="67">
        <f>+J83*tab!I$30</f>
        <v>0</v>
      </c>
      <c r="AD83" s="67">
        <f>+K83*tab!J$30</f>
        <v>0</v>
      </c>
      <c r="AE83" s="70"/>
      <c r="AF83" s="562">
        <v>0</v>
      </c>
      <c r="AG83" s="119">
        <f t="shared" ref="AG83:AG139" si="18">AF83</f>
        <v>0</v>
      </c>
      <c r="AH83" s="119">
        <f t="shared" ref="AH83:AH139" si="19">AG83</f>
        <v>0</v>
      </c>
      <c r="AI83" s="119">
        <f t="shared" ref="AI83:AI139" si="20">AH83</f>
        <v>0</v>
      </c>
      <c r="AJ83" s="119">
        <f t="shared" ref="AJ83:AJ139" si="21">AI83</f>
        <v>0</v>
      </c>
      <c r="AK83" s="792"/>
      <c r="AL83" s="1481"/>
    </row>
    <row r="84" spans="2:38" s="112" customFormat="1" x14ac:dyDescent="0.2">
      <c r="B84" s="132"/>
      <c r="C84" s="149"/>
      <c r="D84" s="49">
        <v>70</v>
      </c>
      <c r="E84" s="978" t="str">
        <f>+'Li O school'!E84</f>
        <v>school 70</v>
      </c>
      <c r="F84" s="978" t="str">
        <f>+'Li O school'!F84</f>
        <v>11AA</v>
      </c>
      <c r="G84" s="833">
        <f>'Li O school'!I84</f>
        <v>0</v>
      </c>
      <c r="H84" s="833">
        <f>'Li O school'!J84</f>
        <v>0</v>
      </c>
      <c r="I84" s="833">
        <f>'Li O school'!K84</f>
        <v>0</v>
      </c>
      <c r="J84" s="833">
        <f>'Li O school'!L84</f>
        <v>0</v>
      </c>
      <c r="K84" s="833">
        <f>'Li O school'!M84</f>
        <v>0</v>
      </c>
      <c r="L84" s="833">
        <f>'Li O school'!N84</f>
        <v>0</v>
      </c>
      <c r="M84" s="70"/>
      <c r="N84" s="67">
        <f>ROUND(G84*tab!F$26,2)</f>
        <v>0</v>
      </c>
      <c r="O84" s="67">
        <f>ROUND(H84*tab!G$26,2)</f>
        <v>0</v>
      </c>
      <c r="P84" s="67">
        <f>ROUND(I84*tab!H$26,2)</f>
        <v>0</v>
      </c>
      <c r="Q84" s="67">
        <f>ROUND(J84*tab!I$26,2)</f>
        <v>0</v>
      </c>
      <c r="R84" s="67">
        <f>ROUND(K84*tab!J$26,2)</f>
        <v>0</v>
      </c>
      <c r="S84" s="70"/>
      <c r="T84" s="119">
        <v>0</v>
      </c>
      <c r="U84" s="119">
        <f t="shared" si="15"/>
        <v>0</v>
      </c>
      <c r="V84" s="119">
        <f t="shared" si="15"/>
        <v>0</v>
      </c>
      <c r="W84" s="119">
        <f t="shared" si="16"/>
        <v>0</v>
      </c>
      <c r="X84" s="119">
        <f t="shared" si="17"/>
        <v>0</v>
      </c>
      <c r="Y84" s="70"/>
      <c r="Z84" s="67">
        <f>+G84*tab!F$30</f>
        <v>0</v>
      </c>
      <c r="AA84" s="67">
        <f>+H84*tab!G$30</f>
        <v>0</v>
      </c>
      <c r="AB84" s="67">
        <f>+I84*tab!H$30</f>
        <v>0</v>
      </c>
      <c r="AC84" s="67">
        <f>+J84*tab!I$30</f>
        <v>0</v>
      </c>
      <c r="AD84" s="67">
        <f>+K84*tab!J$30</f>
        <v>0</v>
      </c>
      <c r="AE84" s="70"/>
      <c r="AF84" s="562">
        <v>0</v>
      </c>
      <c r="AG84" s="119">
        <f t="shared" si="18"/>
        <v>0</v>
      </c>
      <c r="AH84" s="119">
        <f t="shared" si="19"/>
        <v>0</v>
      </c>
      <c r="AI84" s="119">
        <f t="shared" si="20"/>
        <v>0</v>
      </c>
      <c r="AJ84" s="119">
        <f t="shared" si="21"/>
        <v>0</v>
      </c>
      <c r="AK84" s="792"/>
      <c r="AL84" s="1481"/>
    </row>
    <row r="85" spans="2:38" s="112" customFormat="1" x14ac:dyDescent="0.2">
      <c r="B85" s="132"/>
      <c r="C85" s="149"/>
      <c r="D85" s="49">
        <v>71</v>
      </c>
      <c r="E85" s="978" t="str">
        <f>+'Li O school'!E85</f>
        <v>school 71</v>
      </c>
      <c r="F85" s="978" t="str">
        <f>+'Li O school'!F85</f>
        <v>11AA</v>
      </c>
      <c r="G85" s="833">
        <f>'Li O school'!I85</f>
        <v>0</v>
      </c>
      <c r="H85" s="833">
        <f>'Li O school'!J85</f>
        <v>0</v>
      </c>
      <c r="I85" s="833">
        <f>'Li O school'!K85</f>
        <v>0</v>
      </c>
      <c r="J85" s="833">
        <f>'Li O school'!L85</f>
        <v>0</v>
      </c>
      <c r="K85" s="833">
        <f>'Li O school'!M85</f>
        <v>0</v>
      </c>
      <c r="L85" s="833">
        <f>'Li O school'!N85</f>
        <v>0</v>
      </c>
      <c r="M85" s="70"/>
      <c r="N85" s="67">
        <f>ROUND(G85*tab!F$26,2)</f>
        <v>0</v>
      </c>
      <c r="O85" s="67">
        <f>ROUND(H85*tab!G$26,2)</f>
        <v>0</v>
      </c>
      <c r="P85" s="67">
        <f>ROUND(I85*tab!H$26,2)</f>
        <v>0</v>
      </c>
      <c r="Q85" s="67">
        <f>ROUND(J85*tab!I$26,2)</f>
        <v>0</v>
      </c>
      <c r="R85" s="67">
        <f>ROUND(K85*tab!J$26,2)</f>
        <v>0</v>
      </c>
      <c r="S85" s="70"/>
      <c r="T85" s="119">
        <v>0</v>
      </c>
      <c r="U85" s="119">
        <f t="shared" si="15"/>
        <v>0</v>
      </c>
      <c r="V85" s="119">
        <f t="shared" si="15"/>
        <v>0</v>
      </c>
      <c r="W85" s="119">
        <f t="shared" si="16"/>
        <v>0</v>
      </c>
      <c r="X85" s="119">
        <f t="shared" si="17"/>
        <v>0</v>
      </c>
      <c r="Y85" s="70"/>
      <c r="Z85" s="67">
        <f>+G85*tab!F$30</f>
        <v>0</v>
      </c>
      <c r="AA85" s="67">
        <f>+H85*tab!G$30</f>
        <v>0</v>
      </c>
      <c r="AB85" s="67">
        <f>+I85*tab!H$30</f>
        <v>0</v>
      </c>
      <c r="AC85" s="67">
        <f>+J85*tab!I$30</f>
        <v>0</v>
      </c>
      <c r="AD85" s="67">
        <f>+K85*tab!J$30</f>
        <v>0</v>
      </c>
      <c r="AE85" s="70"/>
      <c r="AF85" s="562">
        <v>0</v>
      </c>
      <c r="AG85" s="119">
        <f t="shared" si="18"/>
        <v>0</v>
      </c>
      <c r="AH85" s="119">
        <f t="shared" si="19"/>
        <v>0</v>
      </c>
      <c r="AI85" s="119">
        <f t="shared" si="20"/>
        <v>0</v>
      </c>
      <c r="AJ85" s="119">
        <f t="shared" si="21"/>
        <v>0</v>
      </c>
      <c r="AK85" s="792"/>
      <c r="AL85" s="1481"/>
    </row>
    <row r="86" spans="2:38" s="112" customFormat="1" x14ac:dyDescent="0.2">
      <c r="B86" s="132"/>
      <c r="C86" s="149"/>
      <c r="D86" s="49">
        <v>72</v>
      </c>
      <c r="E86" s="978" t="str">
        <f>+'Li O school'!E86</f>
        <v>school 72</v>
      </c>
      <c r="F86" s="978" t="str">
        <f>+'Li O school'!F86</f>
        <v>11AA</v>
      </c>
      <c r="G86" s="833">
        <f>'Li O school'!I86</f>
        <v>0</v>
      </c>
      <c r="H86" s="833">
        <f>'Li O school'!J86</f>
        <v>0</v>
      </c>
      <c r="I86" s="833">
        <f>'Li O school'!K86</f>
        <v>0</v>
      </c>
      <c r="J86" s="833">
        <f>'Li O school'!L86</f>
        <v>0</v>
      </c>
      <c r="K86" s="833">
        <f>'Li O school'!M86</f>
        <v>0</v>
      </c>
      <c r="L86" s="833">
        <f>'Li O school'!N86</f>
        <v>0</v>
      </c>
      <c r="M86" s="70"/>
      <c r="N86" s="67">
        <f>ROUND(G86*tab!F$26,2)</f>
        <v>0</v>
      </c>
      <c r="O86" s="67">
        <f>ROUND(H86*tab!G$26,2)</f>
        <v>0</v>
      </c>
      <c r="P86" s="67">
        <f>ROUND(I86*tab!H$26,2)</f>
        <v>0</v>
      </c>
      <c r="Q86" s="67">
        <f>ROUND(J86*tab!I$26,2)</f>
        <v>0</v>
      </c>
      <c r="R86" s="67">
        <f>ROUND(K86*tab!J$26,2)</f>
        <v>0</v>
      </c>
      <c r="S86" s="70"/>
      <c r="T86" s="119">
        <v>0</v>
      </c>
      <c r="U86" s="119">
        <f t="shared" si="15"/>
        <v>0</v>
      </c>
      <c r="V86" s="119">
        <f t="shared" si="15"/>
        <v>0</v>
      </c>
      <c r="W86" s="119">
        <f t="shared" si="16"/>
        <v>0</v>
      </c>
      <c r="X86" s="119">
        <f t="shared" si="17"/>
        <v>0</v>
      </c>
      <c r="Y86" s="70"/>
      <c r="Z86" s="67">
        <f>+G86*tab!F$30</f>
        <v>0</v>
      </c>
      <c r="AA86" s="67">
        <f>+H86*tab!G$30</f>
        <v>0</v>
      </c>
      <c r="AB86" s="67">
        <f>+I86*tab!H$30</f>
        <v>0</v>
      </c>
      <c r="AC86" s="67">
        <f>+J86*tab!I$30</f>
        <v>0</v>
      </c>
      <c r="AD86" s="67">
        <f>+K86*tab!J$30</f>
        <v>0</v>
      </c>
      <c r="AE86" s="70"/>
      <c r="AF86" s="562">
        <v>0</v>
      </c>
      <c r="AG86" s="119">
        <f t="shared" si="18"/>
        <v>0</v>
      </c>
      <c r="AH86" s="119">
        <f t="shared" si="19"/>
        <v>0</v>
      </c>
      <c r="AI86" s="119">
        <f t="shared" si="20"/>
        <v>0</v>
      </c>
      <c r="AJ86" s="119">
        <f t="shared" si="21"/>
        <v>0</v>
      </c>
      <c r="AK86" s="792"/>
      <c r="AL86" s="1481"/>
    </row>
    <row r="87" spans="2:38" s="112" customFormat="1" x14ac:dyDescent="0.2">
      <c r="B87" s="132"/>
      <c r="C87" s="149"/>
      <c r="D87" s="49">
        <v>73</v>
      </c>
      <c r="E87" s="978" t="str">
        <f>+'Li O school'!E87</f>
        <v>school 73</v>
      </c>
      <c r="F87" s="978" t="str">
        <f>+'Li O school'!F87</f>
        <v>11AA</v>
      </c>
      <c r="G87" s="833">
        <f>'Li O school'!I87</f>
        <v>0</v>
      </c>
      <c r="H87" s="833">
        <f>'Li O school'!J87</f>
        <v>0</v>
      </c>
      <c r="I87" s="833">
        <f>'Li O school'!K87</f>
        <v>0</v>
      </c>
      <c r="J87" s="833">
        <f>'Li O school'!L87</f>
        <v>0</v>
      </c>
      <c r="K87" s="833">
        <f>'Li O school'!M87</f>
        <v>0</v>
      </c>
      <c r="L87" s="833">
        <f>'Li O school'!N87</f>
        <v>0</v>
      </c>
      <c r="M87" s="70"/>
      <c r="N87" s="67">
        <f>ROUND(G87*tab!F$26,2)</f>
        <v>0</v>
      </c>
      <c r="O87" s="67">
        <f>ROUND(H87*tab!G$26,2)</f>
        <v>0</v>
      </c>
      <c r="P87" s="67">
        <f>ROUND(I87*tab!H$26,2)</f>
        <v>0</v>
      </c>
      <c r="Q87" s="67">
        <f>ROUND(J87*tab!I$26,2)</f>
        <v>0</v>
      </c>
      <c r="R87" s="67">
        <f>ROUND(K87*tab!J$26,2)</f>
        <v>0</v>
      </c>
      <c r="S87" s="70"/>
      <c r="T87" s="119">
        <v>0</v>
      </c>
      <c r="U87" s="119">
        <f t="shared" si="15"/>
        <v>0</v>
      </c>
      <c r="V87" s="119">
        <f t="shared" si="15"/>
        <v>0</v>
      </c>
      <c r="W87" s="119">
        <f t="shared" si="16"/>
        <v>0</v>
      </c>
      <c r="X87" s="119">
        <f t="shared" si="17"/>
        <v>0</v>
      </c>
      <c r="Y87" s="70"/>
      <c r="Z87" s="67">
        <f>+G87*tab!F$30</f>
        <v>0</v>
      </c>
      <c r="AA87" s="67">
        <f>+H87*tab!G$30</f>
        <v>0</v>
      </c>
      <c r="AB87" s="67">
        <f>+I87*tab!H$30</f>
        <v>0</v>
      </c>
      <c r="AC87" s="67">
        <f>+J87*tab!I$30</f>
        <v>0</v>
      </c>
      <c r="AD87" s="67">
        <f>+K87*tab!J$30</f>
        <v>0</v>
      </c>
      <c r="AE87" s="70"/>
      <c r="AF87" s="562">
        <v>0</v>
      </c>
      <c r="AG87" s="119">
        <f t="shared" si="18"/>
        <v>0</v>
      </c>
      <c r="AH87" s="119">
        <f t="shared" si="19"/>
        <v>0</v>
      </c>
      <c r="AI87" s="119">
        <f t="shared" si="20"/>
        <v>0</v>
      </c>
      <c r="AJ87" s="119">
        <f t="shared" si="21"/>
        <v>0</v>
      </c>
      <c r="AK87" s="792"/>
      <c r="AL87" s="1481"/>
    </row>
    <row r="88" spans="2:38" s="112" customFormat="1" x14ac:dyDescent="0.2">
      <c r="B88" s="132"/>
      <c r="C88" s="149"/>
      <c r="D88" s="49">
        <v>74</v>
      </c>
      <c r="E88" s="978" t="str">
        <f>+'Li O school'!E88</f>
        <v>school 74</v>
      </c>
      <c r="F88" s="978" t="str">
        <f>+'Li O school'!F88</f>
        <v>11AA</v>
      </c>
      <c r="G88" s="833">
        <f>'Li O school'!I88</f>
        <v>0</v>
      </c>
      <c r="H88" s="833">
        <f>'Li O school'!J88</f>
        <v>0</v>
      </c>
      <c r="I88" s="833">
        <f>'Li O school'!K88</f>
        <v>0</v>
      </c>
      <c r="J88" s="833">
        <f>'Li O school'!L88</f>
        <v>0</v>
      </c>
      <c r="K88" s="833">
        <f>'Li O school'!M88</f>
        <v>0</v>
      </c>
      <c r="L88" s="833">
        <f>'Li O school'!N88</f>
        <v>0</v>
      </c>
      <c r="M88" s="70"/>
      <c r="N88" s="67">
        <f>ROUND(G88*tab!F$26,2)</f>
        <v>0</v>
      </c>
      <c r="O88" s="67">
        <f>ROUND(H88*tab!G$26,2)</f>
        <v>0</v>
      </c>
      <c r="P88" s="67">
        <f>ROUND(I88*tab!H$26,2)</f>
        <v>0</v>
      </c>
      <c r="Q88" s="67">
        <f>ROUND(J88*tab!I$26,2)</f>
        <v>0</v>
      </c>
      <c r="R88" s="67">
        <f>ROUND(K88*tab!J$26,2)</f>
        <v>0</v>
      </c>
      <c r="S88" s="70"/>
      <c r="T88" s="119">
        <v>0</v>
      </c>
      <c r="U88" s="119">
        <f t="shared" si="15"/>
        <v>0</v>
      </c>
      <c r="V88" s="119">
        <f t="shared" si="15"/>
        <v>0</v>
      </c>
      <c r="W88" s="119">
        <f t="shared" si="16"/>
        <v>0</v>
      </c>
      <c r="X88" s="119">
        <f t="shared" si="17"/>
        <v>0</v>
      </c>
      <c r="Y88" s="70"/>
      <c r="Z88" s="67">
        <f>+G88*tab!F$30</f>
        <v>0</v>
      </c>
      <c r="AA88" s="67">
        <f>+H88*tab!G$30</f>
        <v>0</v>
      </c>
      <c r="AB88" s="67">
        <f>+I88*tab!H$30</f>
        <v>0</v>
      </c>
      <c r="AC88" s="67">
        <f>+J88*tab!I$30</f>
        <v>0</v>
      </c>
      <c r="AD88" s="67">
        <f>+K88*tab!J$30</f>
        <v>0</v>
      </c>
      <c r="AE88" s="70"/>
      <c r="AF88" s="562">
        <v>0</v>
      </c>
      <c r="AG88" s="119">
        <f t="shared" si="18"/>
        <v>0</v>
      </c>
      <c r="AH88" s="119">
        <f t="shared" si="19"/>
        <v>0</v>
      </c>
      <c r="AI88" s="119">
        <f t="shared" si="20"/>
        <v>0</v>
      </c>
      <c r="AJ88" s="119">
        <f t="shared" si="21"/>
        <v>0</v>
      </c>
      <c r="AK88" s="792"/>
      <c r="AL88" s="1481"/>
    </row>
    <row r="89" spans="2:38" s="112" customFormat="1" x14ac:dyDescent="0.2">
      <c r="B89" s="132"/>
      <c r="C89" s="149"/>
      <c r="D89" s="49">
        <v>75</v>
      </c>
      <c r="E89" s="978" t="str">
        <f>+'Li O school'!E89</f>
        <v>school 75</v>
      </c>
      <c r="F89" s="978" t="str">
        <f>+'Li O school'!F89</f>
        <v>11AA</v>
      </c>
      <c r="G89" s="833">
        <f>'Li O school'!I89</f>
        <v>0</v>
      </c>
      <c r="H89" s="833">
        <f>'Li O school'!J89</f>
        <v>0</v>
      </c>
      <c r="I89" s="833">
        <f>'Li O school'!K89</f>
        <v>0</v>
      </c>
      <c r="J89" s="833">
        <f>'Li O school'!L89</f>
        <v>0</v>
      </c>
      <c r="K89" s="833">
        <f>'Li O school'!M89</f>
        <v>0</v>
      </c>
      <c r="L89" s="833">
        <f>'Li O school'!N89</f>
        <v>0</v>
      </c>
      <c r="M89" s="70"/>
      <c r="N89" s="67">
        <f>ROUND(G89*tab!F$26,2)</f>
        <v>0</v>
      </c>
      <c r="O89" s="67">
        <f>ROUND(H89*tab!G$26,2)</f>
        <v>0</v>
      </c>
      <c r="P89" s="67">
        <f>ROUND(I89*tab!H$26,2)</f>
        <v>0</v>
      </c>
      <c r="Q89" s="67">
        <f>ROUND(J89*tab!I$26,2)</f>
        <v>0</v>
      </c>
      <c r="R89" s="67">
        <f>ROUND(K89*tab!J$26,2)</f>
        <v>0</v>
      </c>
      <c r="S89" s="70"/>
      <c r="T89" s="119">
        <v>0</v>
      </c>
      <c r="U89" s="119">
        <f t="shared" si="15"/>
        <v>0</v>
      </c>
      <c r="V89" s="119">
        <f t="shared" si="15"/>
        <v>0</v>
      </c>
      <c r="W89" s="119">
        <f t="shared" si="16"/>
        <v>0</v>
      </c>
      <c r="X89" s="119">
        <f t="shared" si="17"/>
        <v>0</v>
      </c>
      <c r="Y89" s="70"/>
      <c r="Z89" s="67">
        <f>+G89*tab!F$30</f>
        <v>0</v>
      </c>
      <c r="AA89" s="67">
        <f>+H89*tab!G$30</f>
        <v>0</v>
      </c>
      <c r="AB89" s="67">
        <f>+I89*tab!H$30</f>
        <v>0</v>
      </c>
      <c r="AC89" s="67">
        <f>+J89*tab!I$30</f>
        <v>0</v>
      </c>
      <c r="AD89" s="67">
        <f>+K89*tab!J$30</f>
        <v>0</v>
      </c>
      <c r="AE89" s="70"/>
      <c r="AF89" s="562">
        <v>0</v>
      </c>
      <c r="AG89" s="119">
        <f t="shared" si="18"/>
        <v>0</v>
      </c>
      <c r="AH89" s="119">
        <f t="shared" si="19"/>
        <v>0</v>
      </c>
      <c r="AI89" s="119">
        <f t="shared" si="20"/>
        <v>0</v>
      </c>
      <c r="AJ89" s="119">
        <f t="shared" si="21"/>
        <v>0</v>
      </c>
      <c r="AK89" s="792"/>
      <c r="AL89" s="1481"/>
    </row>
    <row r="90" spans="2:38" s="112" customFormat="1" x14ac:dyDescent="0.2">
      <c r="B90" s="132"/>
      <c r="C90" s="149"/>
      <c r="D90" s="49">
        <v>76</v>
      </c>
      <c r="E90" s="978" t="str">
        <f>+'Li O school'!E90</f>
        <v>school 76</v>
      </c>
      <c r="F90" s="978" t="str">
        <f>+'Li O school'!F90</f>
        <v>11AA</v>
      </c>
      <c r="G90" s="833">
        <f>'Li O school'!I90</f>
        <v>0</v>
      </c>
      <c r="H90" s="833">
        <f>'Li O school'!J90</f>
        <v>0</v>
      </c>
      <c r="I90" s="833">
        <f>'Li O school'!K90</f>
        <v>0</v>
      </c>
      <c r="J90" s="833">
        <f>'Li O school'!L90</f>
        <v>0</v>
      </c>
      <c r="K90" s="833">
        <f>'Li O school'!M90</f>
        <v>0</v>
      </c>
      <c r="L90" s="833">
        <f>'Li O school'!N90</f>
        <v>0</v>
      </c>
      <c r="M90" s="70"/>
      <c r="N90" s="67">
        <f>ROUND(G90*tab!F$26,2)</f>
        <v>0</v>
      </c>
      <c r="O90" s="67">
        <f>ROUND(H90*tab!G$26,2)</f>
        <v>0</v>
      </c>
      <c r="P90" s="67">
        <f>ROUND(I90*tab!H$26,2)</f>
        <v>0</v>
      </c>
      <c r="Q90" s="67">
        <f>ROUND(J90*tab!I$26,2)</f>
        <v>0</v>
      </c>
      <c r="R90" s="67">
        <f>ROUND(K90*tab!J$26,2)</f>
        <v>0</v>
      </c>
      <c r="S90" s="70"/>
      <c r="T90" s="119">
        <v>0</v>
      </c>
      <c r="U90" s="119">
        <f t="shared" si="15"/>
        <v>0</v>
      </c>
      <c r="V90" s="119">
        <f t="shared" si="15"/>
        <v>0</v>
      </c>
      <c r="W90" s="119">
        <f t="shared" si="16"/>
        <v>0</v>
      </c>
      <c r="X90" s="119">
        <f t="shared" si="17"/>
        <v>0</v>
      </c>
      <c r="Y90" s="70"/>
      <c r="Z90" s="67">
        <f>+G90*tab!F$30</f>
        <v>0</v>
      </c>
      <c r="AA90" s="67">
        <f>+H90*tab!G$30</f>
        <v>0</v>
      </c>
      <c r="AB90" s="67">
        <f>+I90*tab!H$30</f>
        <v>0</v>
      </c>
      <c r="AC90" s="67">
        <f>+J90*tab!I$30</f>
        <v>0</v>
      </c>
      <c r="AD90" s="67">
        <f>+K90*tab!J$30</f>
        <v>0</v>
      </c>
      <c r="AE90" s="70"/>
      <c r="AF90" s="562">
        <v>0</v>
      </c>
      <c r="AG90" s="119">
        <f t="shared" si="18"/>
        <v>0</v>
      </c>
      <c r="AH90" s="119">
        <f t="shared" si="19"/>
        <v>0</v>
      </c>
      <c r="AI90" s="119">
        <f t="shared" si="20"/>
        <v>0</v>
      </c>
      <c r="AJ90" s="119">
        <f t="shared" si="21"/>
        <v>0</v>
      </c>
      <c r="AK90" s="792"/>
      <c r="AL90" s="1481"/>
    </row>
    <row r="91" spans="2:38" s="112" customFormat="1" x14ac:dyDescent="0.2">
      <c r="B91" s="132"/>
      <c r="C91" s="149"/>
      <c r="D91" s="49">
        <v>77</v>
      </c>
      <c r="E91" s="978" t="str">
        <f>+'Li O school'!E91</f>
        <v>school 77</v>
      </c>
      <c r="F91" s="978" t="str">
        <f>+'Li O school'!F91</f>
        <v>11AA</v>
      </c>
      <c r="G91" s="833">
        <f>'Li O school'!I91</f>
        <v>0</v>
      </c>
      <c r="H91" s="833">
        <f>'Li O school'!J91</f>
        <v>0</v>
      </c>
      <c r="I91" s="833">
        <f>'Li O school'!K91</f>
        <v>0</v>
      </c>
      <c r="J91" s="833">
        <f>'Li O school'!L91</f>
        <v>0</v>
      </c>
      <c r="K91" s="833">
        <f>'Li O school'!M91</f>
        <v>0</v>
      </c>
      <c r="L91" s="833">
        <f>'Li O school'!N91</f>
        <v>0</v>
      </c>
      <c r="M91" s="70"/>
      <c r="N91" s="67">
        <f>ROUND(G91*tab!F$26,2)</f>
        <v>0</v>
      </c>
      <c r="O91" s="67">
        <f>ROUND(H91*tab!G$26,2)</f>
        <v>0</v>
      </c>
      <c r="P91" s="67">
        <f>ROUND(I91*tab!H$26,2)</f>
        <v>0</v>
      </c>
      <c r="Q91" s="67">
        <f>ROUND(J91*tab!I$26,2)</f>
        <v>0</v>
      </c>
      <c r="R91" s="67">
        <f>ROUND(K91*tab!J$26,2)</f>
        <v>0</v>
      </c>
      <c r="S91" s="70"/>
      <c r="T91" s="119">
        <v>0</v>
      </c>
      <c r="U91" s="119">
        <f t="shared" si="15"/>
        <v>0</v>
      </c>
      <c r="V91" s="119">
        <f t="shared" si="15"/>
        <v>0</v>
      </c>
      <c r="W91" s="119">
        <f t="shared" si="16"/>
        <v>0</v>
      </c>
      <c r="X91" s="119">
        <f t="shared" si="17"/>
        <v>0</v>
      </c>
      <c r="Y91" s="70"/>
      <c r="Z91" s="67">
        <f>+G91*tab!F$30</f>
        <v>0</v>
      </c>
      <c r="AA91" s="67">
        <f>+H91*tab!G$30</f>
        <v>0</v>
      </c>
      <c r="AB91" s="67">
        <f>+I91*tab!H$30</f>
        <v>0</v>
      </c>
      <c r="AC91" s="67">
        <f>+J91*tab!I$30</f>
        <v>0</v>
      </c>
      <c r="AD91" s="67">
        <f>+K91*tab!J$30</f>
        <v>0</v>
      </c>
      <c r="AE91" s="70"/>
      <c r="AF91" s="562">
        <v>0</v>
      </c>
      <c r="AG91" s="119">
        <f t="shared" si="18"/>
        <v>0</v>
      </c>
      <c r="AH91" s="119">
        <f t="shared" si="19"/>
        <v>0</v>
      </c>
      <c r="AI91" s="119">
        <f t="shared" si="20"/>
        <v>0</v>
      </c>
      <c r="AJ91" s="119">
        <f t="shared" si="21"/>
        <v>0</v>
      </c>
      <c r="AK91" s="792"/>
      <c r="AL91" s="1481"/>
    </row>
    <row r="92" spans="2:38" s="112" customFormat="1" x14ac:dyDescent="0.2">
      <c r="B92" s="132"/>
      <c r="C92" s="149"/>
      <c r="D92" s="49">
        <v>78</v>
      </c>
      <c r="E92" s="978" t="str">
        <f>+'Li O school'!E92</f>
        <v>school 78</v>
      </c>
      <c r="F92" s="978" t="str">
        <f>+'Li O school'!F92</f>
        <v>11AA</v>
      </c>
      <c r="G92" s="833">
        <f>'Li O school'!I92</f>
        <v>0</v>
      </c>
      <c r="H92" s="833">
        <f>'Li O school'!J92</f>
        <v>0</v>
      </c>
      <c r="I92" s="833">
        <f>'Li O school'!K92</f>
        <v>0</v>
      </c>
      <c r="J92" s="833">
        <f>'Li O school'!L92</f>
        <v>0</v>
      </c>
      <c r="K92" s="833">
        <f>'Li O school'!M92</f>
        <v>0</v>
      </c>
      <c r="L92" s="833">
        <f>'Li O school'!N92</f>
        <v>0</v>
      </c>
      <c r="M92" s="70"/>
      <c r="N92" s="67">
        <f>ROUND(G92*tab!F$26,2)</f>
        <v>0</v>
      </c>
      <c r="O92" s="67">
        <f>ROUND(H92*tab!G$26,2)</f>
        <v>0</v>
      </c>
      <c r="P92" s="67">
        <f>ROUND(I92*tab!H$26,2)</f>
        <v>0</v>
      </c>
      <c r="Q92" s="67">
        <f>ROUND(J92*tab!I$26,2)</f>
        <v>0</v>
      </c>
      <c r="R92" s="67">
        <f>ROUND(K92*tab!J$26,2)</f>
        <v>0</v>
      </c>
      <c r="S92" s="70"/>
      <c r="T92" s="119">
        <v>0</v>
      </c>
      <c r="U92" s="119">
        <f t="shared" si="15"/>
        <v>0</v>
      </c>
      <c r="V92" s="119">
        <f t="shared" si="15"/>
        <v>0</v>
      </c>
      <c r="W92" s="119">
        <f t="shared" si="16"/>
        <v>0</v>
      </c>
      <c r="X92" s="119">
        <f t="shared" si="17"/>
        <v>0</v>
      </c>
      <c r="Y92" s="70"/>
      <c r="Z92" s="67">
        <f>+G92*tab!F$30</f>
        <v>0</v>
      </c>
      <c r="AA92" s="67">
        <f>+H92*tab!G$30</f>
        <v>0</v>
      </c>
      <c r="AB92" s="67">
        <f>+I92*tab!H$30</f>
        <v>0</v>
      </c>
      <c r="AC92" s="67">
        <f>+J92*tab!I$30</f>
        <v>0</v>
      </c>
      <c r="AD92" s="67">
        <f>+K92*tab!J$30</f>
        <v>0</v>
      </c>
      <c r="AE92" s="70"/>
      <c r="AF92" s="562">
        <v>0</v>
      </c>
      <c r="AG92" s="119">
        <f t="shared" si="18"/>
        <v>0</v>
      </c>
      <c r="AH92" s="119">
        <f t="shared" si="19"/>
        <v>0</v>
      </c>
      <c r="AI92" s="119">
        <f t="shared" si="20"/>
        <v>0</v>
      </c>
      <c r="AJ92" s="119">
        <f t="shared" si="21"/>
        <v>0</v>
      </c>
      <c r="AK92" s="792"/>
      <c r="AL92" s="1481"/>
    </row>
    <row r="93" spans="2:38" s="112" customFormat="1" x14ac:dyDescent="0.2">
      <c r="B93" s="132"/>
      <c r="C93" s="149"/>
      <c r="D93" s="49">
        <v>79</v>
      </c>
      <c r="E93" s="978" t="str">
        <f>+'Li O school'!E93</f>
        <v>school 79</v>
      </c>
      <c r="F93" s="978" t="str">
        <f>+'Li O school'!F93</f>
        <v>11AA</v>
      </c>
      <c r="G93" s="833">
        <f>'Li O school'!I93</f>
        <v>0</v>
      </c>
      <c r="H93" s="833">
        <f>'Li O school'!J93</f>
        <v>0</v>
      </c>
      <c r="I93" s="833">
        <f>'Li O school'!K93</f>
        <v>0</v>
      </c>
      <c r="J93" s="833">
        <f>'Li O school'!L93</f>
        <v>0</v>
      </c>
      <c r="K93" s="833">
        <f>'Li O school'!M93</f>
        <v>0</v>
      </c>
      <c r="L93" s="833">
        <f>'Li O school'!N93</f>
        <v>0</v>
      </c>
      <c r="M93" s="70"/>
      <c r="N93" s="67">
        <f>ROUND(G93*tab!F$26,2)</f>
        <v>0</v>
      </c>
      <c r="O93" s="67">
        <f>ROUND(H93*tab!G$26,2)</f>
        <v>0</v>
      </c>
      <c r="P93" s="67">
        <f>ROUND(I93*tab!H$26,2)</f>
        <v>0</v>
      </c>
      <c r="Q93" s="67">
        <f>ROUND(J93*tab!I$26,2)</f>
        <v>0</v>
      </c>
      <c r="R93" s="67">
        <f>ROUND(K93*tab!J$26,2)</f>
        <v>0</v>
      </c>
      <c r="S93" s="70"/>
      <c r="T93" s="119">
        <v>0</v>
      </c>
      <c r="U93" s="119">
        <f t="shared" si="15"/>
        <v>0</v>
      </c>
      <c r="V93" s="119">
        <f t="shared" si="15"/>
        <v>0</v>
      </c>
      <c r="W93" s="119">
        <f t="shared" si="16"/>
        <v>0</v>
      </c>
      <c r="X93" s="119">
        <f t="shared" si="17"/>
        <v>0</v>
      </c>
      <c r="Y93" s="70"/>
      <c r="Z93" s="67">
        <f>+G93*tab!F$30</f>
        <v>0</v>
      </c>
      <c r="AA93" s="67">
        <f>+H93*tab!G$30</f>
        <v>0</v>
      </c>
      <c r="AB93" s="67">
        <f>+I93*tab!H$30</f>
        <v>0</v>
      </c>
      <c r="AC93" s="67">
        <f>+J93*tab!I$30</f>
        <v>0</v>
      </c>
      <c r="AD93" s="67">
        <f>+K93*tab!J$30</f>
        <v>0</v>
      </c>
      <c r="AE93" s="70"/>
      <c r="AF93" s="562">
        <v>0</v>
      </c>
      <c r="AG93" s="119">
        <f t="shared" si="18"/>
        <v>0</v>
      </c>
      <c r="AH93" s="119">
        <f t="shared" si="19"/>
        <v>0</v>
      </c>
      <c r="AI93" s="119">
        <f t="shared" si="20"/>
        <v>0</v>
      </c>
      <c r="AJ93" s="119">
        <f t="shared" si="21"/>
        <v>0</v>
      </c>
      <c r="AK93" s="792"/>
      <c r="AL93" s="1481"/>
    </row>
    <row r="94" spans="2:38" s="112" customFormat="1" x14ac:dyDescent="0.2">
      <c r="B94" s="132"/>
      <c r="C94" s="149"/>
      <c r="D94" s="49">
        <v>80</v>
      </c>
      <c r="E94" s="978" t="str">
        <f>+'Li O school'!E94</f>
        <v>school 80</v>
      </c>
      <c r="F94" s="978" t="str">
        <f>+'Li O school'!F94</f>
        <v>11AA</v>
      </c>
      <c r="G94" s="833">
        <f>'Li O school'!I94</f>
        <v>0</v>
      </c>
      <c r="H94" s="833">
        <f>'Li O school'!J94</f>
        <v>0</v>
      </c>
      <c r="I94" s="833">
        <f>'Li O school'!K94</f>
        <v>0</v>
      </c>
      <c r="J94" s="833">
        <f>'Li O school'!L94</f>
        <v>0</v>
      </c>
      <c r="K94" s="833">
        <f>'Li O school'!M94</f>
        <v>0</v>
      </c>
      <c r="L94" s="833">
        <f>'Li O school'!N94</f>
        <v>0</v>
      </c>
      <c r="M94" s="70"/>
      <c r="N94" s="67">
        <f>ROUND(G94*tab!F$26,2)</f>
        <v>0</v>
      </c>
      <c r="O94" s="67">
        <f>ROUND(H94*tab!G$26,2)</f>
        <v>0</v>
      </c>
      <c r="P94" s="67">
        <f>ROUND(I94*tab!H$26,2)</f>
        <v>0</v>
      </c>
      <c r="Q94" s="67">
        <f>ROUND(J94*tab!I$26,2)</f>
        <v>0</v>
      </c>
      <c r="R94" s="67">
        <f>ROUND(K94*tab!J$26,2)</f>
        <v>0</v>
      </c>
      <c r="S94" s="70"/>
      <c r="T94" s="119">
        <v>0</v>
      </c>
      <c r="U94" s="119">
        <f t="shared" si="15"/>
        <v>0</v>
      </c>
      <c r="V94" s="119">
        <f t="shared" si="15"/>
        <v>0</v>
      </c>
      <c r="W94" s="119">
        <f t="shared" si="16"/>
        <v>0</v>
      </c>
      <c r="X94" s="119">
        <f t="shared" si="17"/>
        <v>0</v>
      </c>
      <c r="Y94" s="70"/>
      <c r="Z94" s="67">
        <f>+G94*tab!F$30</f>
        <v>0</v>
      </c>
      <c r="AA94" s="67">
        <f>+H94*tab!G$30</f>
        <v>0</v>
      </c>
      <c r="AB94" s="67">
        <f>+I94*tab!H$30</f>
        <v>0</v>
      </c>
      <c r="AC94" s="67">
        <f>+J94*tab!I$30</f>
        <v>0</v>
      </c>
      <c r="AD94" s="67">
        <f>+K94*tab!J$30</f>
        <v>0</v>
      </c>
      <c r="AE94" s="70"/>
      <c r="AF94" s="562">
        <v>0</v>
      </c>
      <c r="AG94" s="119">
        <f t="shared" si="18"/>
        <v>0</v>
      </c>
      <c r="AH94" s="119">
        <f t="shared" si="19"/>
        <v>0</v>
      </c>
      <c r="AI94" s="119">
        <f t="shared" si="20"/>
        <v>0</v>
      </c>
      <c r="AJ94" s="119">
        <f t="shared" si="21"/>
        <v>0</v>
      </c>
      <c r="AK94" s="792"/>
      <c r="AL94" s="1481"/>
    </row>
    <row r="95" spans="2:38" s="112" customFormat="1" x14ac:dyDescent="0.2">
      <c r="B95" s="132"/>
      <c r="C95" s="149"/>
      <c r="D95" s="49">
        <v>81</v>
      </c>
      <c r="E95" s="978" t="str">
        <f>+'Li O school'!E95</f>
        <v>school 81</v>
      </c>
      <c r="F95" s="978" t="str">
        <f>+'Li O school'!F95</f>
        <v>11AA</v>
      </c>
      <c r="G95" s="833">
        <f>'Li O school'!I95</f>
        <v>0</v>
      </c>
      <c r="H95" s="833">
        <f>'Li O school'!J95</f>
        <v>0</v>
      </c>
      <c r="I95" s="833">
        <f>'Li O school'!K95</f>
        <v>0</v>
      </c>
      <c r="J95" s="833">
        <f>'Li O school'!L95</f>
        <v>0</v>
      </c>
      <c r="K95" s="833">
        <f>'Li O school'!M95</f>
        <v>0</v>
      </c>
      <c r="L95" s="833">
        <f>'Li O school'!N95</f>
        <v>0</v>
      </c>
      <c r="M95" s="70"/>
      <c r="N95" s="67">
        <f>ROUND(G95*tab!F$26,2)</f>
        <v>0</v>
      </c>
      <c r="O95" s="67">
        <f>ROUND(H95*tab!G$26,2)</f>
        <v>0</v>
      </c>
      <c r="P95" s="67">
        <f>ROUND(I95*tab!H$26,2)</f>
        <v>0</v>
      </c>
      <c r="Q95" s="67">
        <f>ROUND(J95*tab!I$26,2)</f>
        <v>0</v>
      </c>
      <c r="R95" s="67">
        <f>ROUND(K95*tab!J$26,2)</f>
        <v>0</v>
      </c>
      <c r="S95" s="70"/>
      <c r="T95" s="119">
        <v>0</v>
      </c>
      <c r="U95" s="119">
        <f t="shared" ref="U95:V114" si="22">T95</f>
        <v>0</v>
      </c>
      <c r="V95" s="119">
        <f t="shared" si="22"/>
        <v>0</v>
      </c>
      <c r="W95" s="119">
        <f t="shared" si="16"/>
        <v>0</v>
      </c>
      <c r="X95" s="119">
        <f t="shared" si="17"/>
        <v>0</v>
      </c>
      <c r="Y95" s="70"/>
      <c r="Z95" s="67">
        <f>+G95*tab!F$30</f>
        <v>0</v>
      </c>
      <c r="AA95" s="67">
        <f>+H95*tab!G$30</f>
        <v>0</v>
      </c>
      <c r="AB95" s="67">
        <f>+I95*tab!H$30</f>
        <v>0</v>
      </c>
      <c r="AC95" s="67">
        <f>+J95*tab!I$30</f>
        <v>0</v>
      </c>
      <c r="AD95" s="67">
        <f>+K95*tab!J$30</f>
        <v>0</v>
      </c>
      <c r="AE95" s="70"/>
      <c r="AF95" s="562">
        <v>0</v>
      </c>
      <c r="AG95" s="119">
        <f t="shared" si="18"/>
        <v>0</v>
      </c>
      <c r="AH95" s="119">
        <f t="shared" si="19"/>
        <v>0</v>
      </c>
      <c r="AI95" s="119">
        <f t="shared" si="20"/>
        <v>0</v>
      </c>
      <c r="AJ95" s="119">
        <f t="shared" si="21"/>
        <v>0</v>
      </c>
      <c r="AK95" s="792"/>
      <c r="AL95" s="1481"/>
    </row>
    <row r="96" spans="2:38" s="112" customFormat="1" x14ac:dyDescent="0.2">
      <c r="B96" s="132"/>
      <c r="C96" s="149"/>
      <c r="D96" s="49">
        <v>82</v>
      </c>
      <c r="E96" s="978" t="str">
        <f>+'Li O school'!E96</f>
        <v>school 82</v>
      </c>
      <c r="F96" s="978" t="str">
        <f>+'Li O school'!F96</f>
        <v>11AA</v>
      </c>
      <c r="G96" s="833">
        <f>'Li O school'!I96</f>
        <v>0</v>
      </c>
      <c r="H96" s="833">
        <f>'Li O school'!J96</f>
        <v>0</v>
      </c>
      <c r="I96" s="833">
        <f>'Li O school'!K96</f>
        <v>0</v>
      </c>
      <c r="J96" s="833">
        <f>'Li O school'!L96</f>
        <v>0</v>
      </c>
      <c r="K96" s="833">
        <f>'Li O school'!M96</f>
        <v>0</v>
      </c>
      <c r="L96" s="833">
        <f>'Li O school'!N96</f>
        <v>0</v>
      </c>
      <c r="M96" s="70"/>
      <c r="N96" s="67">
        <f>ROUND(G96*tab!F$26,2)</f>
        <v>0</v>
      </c>
      <c r="O96" s="67">
        <f>ROUND(H96*tab!G$26,2)</f>
        <v>0</v>
      </c>
      <c r="P96" s="67">
        <f>ROUND(I96*tab!H$26,2)</f>
        <v>0</v>
      </c>
      <c r="Q96" s="67">
        <f>ROUND(J96*tab!I$26,2)</f>
        <v>0</v>
      </c>
      <c r="R96" s="67">
        <f>ROUND(K96*tab!J$26,2)</f>
        <v>0</v>
      </c>
      <c r="S96" s="70"/>
      <c r="T96" s="119">
        <v>0</v>
      </c>
      <c r="U96" s="119">
        <f t="shared" si="22"/>
        <v>0</v>
      </c>
      <c r="V96" s="119">
        <f t="shared" si="22"/>
        <v>0</v>
      </c>
      <c r="W96" s="119">
        <f t="shared" si="16"/>
        <v>0</v>
      </c>
      <c r="X96" s="119">
        <f t="shared" si="17"/>
        <v>0</v>
      </c>
      <c r="Y96" s="70"/>
      <c r="Z96" s="67">
        <f>+G96*tab!F$30</f>
        <v>0</v>
      </c>
      <c r="AA96" s="67">
        <f>+H96*tab!G$30</f>
        <v>0</v>
      </c>
      <c r="AB96" s="67">
        <f>+I96*tab!H$30</f>
        <v>0</v>
      </c>
      <c r="AC96" s="67">
        <f>+J96*tab!I$30</f>
        <v>0</v>
      </c>
      <c r="AD96" s="67">
        <f>+K96*tab!J$30</f>
        <v>0</v>
      </c>
      <c r="AE96" s="70"/>
      <c r="AF96" s="562">
        <v>0</v>
      </c>
      <c r="AG96" s="119">
        <f t="shared" si="18"/>
        <v>0</v>
      </c>
      <c r="AH96" s="119">
        <f t="shared" si="19"/>
        <v>0</v>
      </c>
      <c r="AI96" s="119">
        <f t="shared" si="20"/>
        <v>0</v>
      </c>
      <c r="AJ96" s="119">
        <f t="shared" si="21"/>
        <v>0</v>
      </c>
      <c r="AK96" s="792"/>
      <c r="AL96" s="1481"/>
    </row>
    <row r="97" spans="2:38" s="112" customFormat="1" x14ac:dyDescent="0.2">
      <c r="B97" s="132"/>
      <c r="C97" s="149"/>
      <c r="D97" s="49">
        <v>83</v>
      </c>
      <c r="E97" s="978" t="str">
        <f>+'Li O school'!E97</f>
        <v>school 83</v>
      </c>
      <c r="F97" s="978" t="str">
        <f>+'Li O school'!F97</f>
        <v>11AA</v>
      </c>
      <c r="G97" s="833">
        <f>'Li O school'!I97</f>
        <v>0</v>
      </c>
      <c r="H97" s="833">
        <f>'Li O school'!J97</f>
        <v>0</v>
      </c>
      <c r="I97" s="833">
        <f>'Li O school'!K97</f>
        <v>0</v>
      </c>
      <c r="J97" s="833">
        <f>'Li O school'!L97</f>
        <v>0</v>
      </c>
      <c r="K97" s="833">
        <f>'Li O school'!M97</f>
        <v>0</v>
      </c>
      <c r="L97" s="833">
        <f>'Li O school'!N97</f>
        <v>0</v>
      </c>
      <c r="M97" s="70"/>
      <c r="N97" s="67">
        <f>ROUND(G97*tab!F$26,2)</f>
        <v>0</v>
      </c>
      <c r="O97" s="67">
        <f>ROUND(H97*tab!G$26,2)</f>
        <v>0</v>
      </c>
      <c r="P97" s="67">
        <f>ROUND(I97*tab!H$26,2)</f>
        <v>0</v>
      </c>
      <c r="Q97" s="67">
        <f>ROUND(J97*tab!I$26,2)</f>
        <v>0</v>
      </c>
      <c r="R97" s="67">
        <f>ROUND(K97*tab!J$26,2)</f>
        <v>0</v>
      </c>
      <c r="S97" s="70"/>
      <c r="T97" s="119">
        <v>0</v>
      </c>
      <c r="U97" s="119">
        <f t="shared" si="22"/>
        <v>0</v>
      </c>
      <c r="V97" s="119">
        <f t="shared" si="22"/>
        <v>0</v>
      </c>
      <c r="W97" s="119">
        <f t="shared" si="16"/>
        <v>0</v>
      </c>
      <c r="X97" s="119">
        <f t="shared" si="17"/>
        <v>0</v>
      </c>
      <c r="Y97" s="70"/>
      <c r="Z97" s="67">
        <f>+G97*tab!F$30</f>
        <v>0</v>
      </c>
      <c r="AA97" s="67">
        <f>+H97*tab!G$30</f>
        <v>0</v>
      </c>
      <c r="AB97" s="67">
        <f>+I97*tab!H$30</f>
        <v>0</v>
      </c>
      <c r="AC97" s="67">
        <f>+J97*tab!I$30</f>
        <v>0</v>
      </c>
      <c r="AD97" s="67">
        <f>+K97*tab!J$30</f>
        <v>0</v>
      </c>
      <c r="AE97" s="70"/>
      <c r="AF97" s="562">
        <v>0</v>
      </c>
      <c r="AG97" s="119">
        <f t="shared" si="18"/>
        <v>0</v>
      </c>
      <c r="AH97" s="119">
        <f t="shared" si="19"/>
        <v>0</v>
      </c>
      <c r="AI97" s="119">
        <f t="shared" si="20"/>
        <v>0</v>
      </c>
      <c r="AJ97" s="119">
        <f t="shared" si="21"/>
        <v>0</v>
      </c>
      <c r="AK97" s="792"/>
      <c r="AL97" s="1481"/>
    </row>
    <row r="98" spans="2:38" s="112" customFormat="1" x14ac:dyDescent="0.2">
      <c r="B98" s="132"/>
      <c r="C98" s="149"/>
      <c r="D98" s="49">
        <v>84</v>
      </c>
      <c r="E98" s="978" t="str">
        <f>+'Li O school'!E98</f>
        <v>school 84</v>
      </c>
      <c r="F98" s="978" t="str">
        <f>+'Li O school'!F98</f>
        <v>11AA</v>
      </c>
      <c r="G98" s="833">
        <f>'Li O school'!I98</f>
        <v>0</v>
      </c>
      <c r="H98" s="833">
        <f>'Li O school'!J98</f>
        <v>0</v>
      </c>
      <c r="I98" s="833">
        <f>'Li O school'!K98</f>
        <v>0</v>
      </c>
      <c r="J98" s="833">
        <f>'Li O school'!L98</f>
        <v>0</v>
      </c>
      <c r="K98" s="833">
        <f>'Li O school'!M98</f>
        <v>0</v>
      </c>
      <c r="L98" s="833">
        <f>'Li O school'!N98</f>
        <v>0</v>
      </c>
      <c r="M98" s="70"/>
      <c r="N98" s="67">
        <f>ROUND(G98*tab!F$26,2)</f>
        <v>0</v>
      </c>
      <c r="O98" s="67">
        <f>ROUND(H98*tab!G$26,2)</f>
        <v>0</v>
      </c>
      <c r="P98" s="67">
        <f>ROUND(I98*tab!H$26,2)</f>
        <v>0</v>
      </c>
      <c r="Q98" s="67">
        <f>ROUND(J98*tab!I$26,2)</f>
        <v>0</v>
      </c>
      <c r="R98" s="67">
        <f>ROUND(K98*tab!J$26,2)</f>
        <v>0</v>
      </c>
      <c r="S98" s="70"/>
      <c r="T98" s="119">
        <v>0</v>
      </c>
      <c r="U98" s="119">
        <f t="shared" si="22"/>
        <v>0</v>
      </c>
      <c r="V98" s="119">
        <f t="shared" si="22"/>
        <v>0</v>
      </c>
      <c r="W98" s="119">
        <f t="shared" si="16"/>
        <v>0</v>
      </c>
      <c r="X98" s="119">
        <f t="shared" si="17"/>
        <v>0</v>
      </c>
      <c r="Y98" s="70"/>
      <c r="Z98" s="67">
        <f>+G98*tab!F$30</f>
        <v>0</v>
      </c>
      <c r="AA98" s="67">
        <f>+H98*tab!G$30</f>
        <v>0</v>
      </c>
      <c r="AB98" s="67">
        <f>+I98*tab!H$30</f>
        <v>0</v>
      </c>
      <c r="AC98" s="67">
        <f>+J98*tab!I$30</f>
        <v>0</v>
      </c>
      <c r="AD98" s="67">
        <f>+K98*tab!J$30</f>
        <v>0</v>
      </c>
      <c r="AE98" s="70"/>
      <c r="AF98" s="562">
        <v>0</v>
      </c>
      <c r="AG98" s="119">
        <f t="shared" si="18"/>
        <v>0</v>
      </c>
      <c r="AH98" s="119">
        <f t="shared" si="19"/>
        <v>0</v>
      </c>
      <c r="AI98" s="119">
        <f t="shared" si="20"/>
        <v>0</v>
      </c>
      <c r="AJ98" s="119">
        <f t="shared" si="21"/>
        <v>0</v>
      </c>
      <c r="AK98" s="792"/>
      <c r="AL98" s="1481"/>
    </row>
    <row r="99" spans="2:38" s="112" customFormat="1" x14ac:dyDescent="0.2">
      <c r="B99" s="132"/>
      <c r="C99" s="149"/>
      <c r="D99" s="49">
        <v>85</v>
      </c>
      <c r="E99" s="978" t="str">
        <f>+'Li O school'!E99</f>
        <v>school 85</v>
      </c>
      <c r="F99" s="978" t="str">
        <f>+'Li O school'!F99</f>
        <v>11AA</v>
      </c>
      <c r="G99" s="833">
        <f>'Li O school'!I99</f>
        <v>0</v>
      </c>
      <c r="H99" s="833">
        <f>'Li O school'!J99</f>
        <v>0</v>
      </c>
      <c r="I99" s="833">
        <f>'Li O school'!K99</f>
        <v>0</v>
      </c>
      <c r="J99" s="833">
        <f>'Li O school'!L99</f>
        <v>0</v>
      </c>
      <c r="K99" s="833">
        <f>'Li O school'!M99</f>
        <v>0</v>
      </c>
      <c r="L99" s="833">
        <f>'Li O school'!N99</f>
        <v>0</v>
      </c>
      <c r="M99" s="70"/>
      <c r="N99" s="67">
        <f>ROUND(G99*tab!F$26,2)</f>
        <v>0</v>
      </c>
      <c r="O99" s="67">
        <f>ROUND(H99*tab!G$26,2)</f>
        <v>0</v>
      </c>
      <c r="P99" s="67">
        <f>ROUND(I99*tab!H$26,2)</f>
        <v>0</v>
      </c>
      <c r="Q99" s="67">
        <f>ROUND(J99*tab!I$26,2)</f>
        <v>0</v>
      </c>
      <c r="R99" s="67">
        <f>ROUND(K99*tab!J$26,2)</f>
        <v>0</v>
      </c>
      <c r="S99" s="70"/>
      <c r="T99" s="119">
        <v>0</v>
      </c>
      <c r="U99" s="119">
        <f t="shared" si="22"/>
        <v>0</v>
      </c>
      <c r="V99" s="119">
        <f t="shared" si="22"/>
        <v>0</v>
      </c>
      <c r="W99" s="119">
        <f t="shared" si="16"/>
        <v>0</v>
      </c>
      <c r="X99" s="119">
        <f t="shared" si="17"/>
        <v>0</v>
      </c>
      <c r="Y99" s="70"/>
      <c r="Z99" s="67">
        <f>+G99*tab!F$30</f>
        <v>0</v>
      </c>
      <c r="AA99" s="67">
        <f>+H99*tab!G$30</f>
        <v>0</v>
      </c>
      <c r="AB99" s="67">
        <f>+I99*tab!H$30</f>
        <v>0</v>
      </c>
      <c r="AC99" s="67">
        <f>+J99*tab!I$30</f>
        <v>0</v>
      </c>
      <c r="AD99" s="67">
        <f>+K99*tab!J$30</f>
        <v>0</v>
      </c>
      <c r="AE99" s="70"/>
      <c r="AF99" s="562">
        <v>0</v>
      </c>
      <c r="AG99" s="119">
        <f t="shared" si="18"/>
        <v>0</v>
      </c>
      <c r="AH99" s="119">
        <f t="shared" si="19"/>
        <v>0</v>
      </c>
      <c r="AI99" s="119">
        <f t="shared" si="20"/>
        <v>0</v>
      </c>
      <c r="AJ99" s="119">
        <f t="shared" si="21"/>
        <v>0</v>
      </c>
      <c r="AK99" s="792"/>
      <c r="AL99" s="1481"/>
    </row>
    <row r="100" spans="2:38" s="112" customFormat="1" x14ac:dyDescent="0.2">
      <c r="B100" s="132"/>
      <c r="C100" s="149"/>
      <c r="D100" s="49">
        <v>86</v>
      </c>
      <c r="E100" s="978" t="str">
        <f>+'Li O school'!E100</f>
        <v>school 86</v>
      </c>
      <c r="F100" s="978" t="str">
        <f>+'Li O school'!F100</f>
        <v>11AA</v>
      </c>
      <c r="G100" s="833">
        <f>'Li O school'!I100</f>
        <v>0</v>
      </c>
      <c r="H100" s="833">
        <f>'Li O school'!J100</f>
        <v>0</v>
      </c>
      <c r="I100" s="833">
        <f>'Li O school'!K100</f>
        <v>0</v>
      </c>
      <c r="J100" s="833">
        <f>'Li O school'!L100</f>
        <v>0</v>
      </c>
      <c r="K100" s="833">
        <f>'Li O school'!M100</f>
        <v>0</v>
      </c>
      <c r="L100" s="833">
        <f>'Li O school'!N100</f>
        <v>0</v>
      </c>
      <c r="M100" s="70"/>
      <c r="N100" s="67">
        <f>ROUND(G100*tab!F$26,2)</f>
        <v>0</v>
      </c>
      <c r="O100" s="67">
        <f>ROUND(H100*tab!G$26,2)</f>
        <v>0</v>
      </c>
      <c r="P100" s="67">
        <f>ROUND(I100*tab!H$26,2)</f>
        <v>0</v>
      </c>
      <c r="Q100" s="67">
        <f>ROUND(J100*tab!I$26,2)</f>
        <v>0</v>
      </c>
      <c r="R100" s="67">
        <f>ROUND(K100*tab!J$26,2)</f>
        <v>0</v>
      </c>
      <c r="S100" s="70"/>
      <c r="T100" s="119">
        <v>0</v>
      </c>
      <c r="U100" s="119">
        <f t="shared" si="22"/>
        <v>0</v>
      </c>
      <c r="V100" s="119">
        <f t="shared" si="22"/>
        <v>0</v>
      </c>
      <c r="W100" s="119">
        <f t="shared" si="16"/>
        <v>0</v>
      </c>
      <c r="X100" s="119">
        <f t="shared" si="17"/>
        <v>0</v>
      </c>
      <c r="Y100" s="70"/>
      <c r="Z100" s="67">
        <f>+G100*tab!F$30</f>
        <v>0</v>
      </c>
      <c r="AA100" s="67">
        <f>+H100*tab!G$30</f>
        <v>0</v>
      </c>
      <c r="AB100" s="67">
        <f>+I100*tab!H$30</f>
        <v>0</v>
      </c>
      <c r="AC100" s="67">
        <f>+J100*tab!I$30</f>
        <v>0</v>
      </c>
      <c r="AD100" s="67">
        <f>+K100*tab!J$30</f>
        <v>0</v>
      </c>
      <c r="AE100" s="70"/>
      <c r="AF100" s="562">
        <v>0</v>
      </c>
      <c r="AG100" s="119">
        <f t="shared" si="18"/>
        <v>0</v>
      </c>
      <c r="AH100" s="119">
        <f t="shared" si="19"/>
        <v>0</v>
      </c>
      <c r="AI100" s="119">
        <f t="shared" si="20"/>
        <v>0</v>
      </c>
      <c r="AJ100" s="119">
        <f t="shared" si="21"/>
        <v>0</v>
      </c>
      <c r="AK100" s="792"/>
      <c r="AL100" s="1481"/>
    </row>
    <row r="101" spans="2:38" s="112" customFormat="1" x14ac:dyDescent="0.2">
      <c r="B101" s="132"/>
      <c r="C101" s="149"/>
      <c r="D101" s="49">
        <v>87</v>
      </c>
      <c r="E101" s="978" t="str">
        <f>+'Li O school'!E101</f>
        <v>school 87</v>
      </c>
      <c r="F101" s="978" t="str">
        <f>+'Li O school'!F101</f>
        <v>11AA</v>
      </c>
      <c r="G101" s="833">
        <f>'Li O school'!I101</f>
        <v>0</v>
      </c>
      <c r="H101" s="833">
        <f>'Li O school'!J101</f>
        <v>0</v>
      </c>
      <c r="I101" s="833">
        <f>'Li O school'!K101</f>
        <v>0</v>
      </c>
      <c r="J101" s="833">
        <f>'Li O school'!L101</f>
        <v>0</v>
      </c>
      <c r="K101" s="833">
        <f>'Li O school'!M101</f>
        <v>0</v>
      </c>
      <c r="L101" s="833">
        <f>'Li O school'!N101</f>
        <v>0</v>
      </c>
      <c r="M101" s="70"/>
      <c r="N101" s="67">
        <f>ROUND(G101*tab!F$26,2)</f>
        <v>0</v>
      </c>
      <c r="O101" s="67">
        <f>ROUND(H101*tab!G$26,2)</f>
        <v>0</v>
      </c>
      <c r="P101" s="67">
        <f>ROUND(I101*tab!H$26,2)</f>
        <v>0</v>
      </c>
      <c r="Q101" s="67">
        <f>ROUND(J101*tab!I$26,2)</f>
        <v>0</v>
      </c>
      <c r="R101" s="67">
        <f>ROUND(K101*tab!J$26,2)</f>
        <v>0</v>
      </c>
      <c r="S101" s="70"/>
      <c r="T101" s="119">
        <v>0</v>
      </c>
      <c r="U101" s="119">
        <f t="shared" si="22"/>
        <v>0</v>
      </c>
      <c r="V101" s="119">
        <f t="shared" si="22"/>
        <v>0</v>
      </c>
      <c r="W101" s="119">
        <f t="shared" si="16"/>
        <v>0</v>
      </c>
      <c r="X101" s="119">
        <f t="shared" si="17"/>
        <v>0</v>
      </c>
      <c r="Y101" s="70"/>
      <c r="Z101" s="67">
        <f>+G101*tab!F$30</f>
        <v>0</v>
      </c>
      <c r="AA101" s="67">
        <f>+H101*tab!G$30</f>
        <v>0</v>
      </c>
      <c r="AB101" s="67">
        <f>+I101*tab!H$30</f>
        <v>0</v>
      </c>
      <c r="AC101" s="67">
        <f>+J101*tab!I$30</f>
        <v>0</v>
      </c>
      <c r="AD101" s="67">
        <f>+K101*tab!J$30</f>
        <v>0</v>
      </c>
      <c r="AE101" s="70"/>
      <c r="AF101" s="562">
        <v>0</v>
      </c>
      <c r="AG101" s="119">
        <f t="shared" si="18"/>
        <v>0</v>
      </c>
      <c r="AH101" s="119">
        <f t="shared" si="19"/>
        <v>0</v>
      </c>
      <c r="AI101" s="119">
        <f t="shared" si="20"/>
        <v>0</v>
      </c>
      <c r="AJ101" s="119">
        <f t="shared" si="21"/>
        <v>0</v>
      </c>
      <c r="AK101" s="792"/>
      <c r="AL101" s="1481"/>
    </row>
    <row r="102" spans="2:38" s="112" customFormat="1" x14ac:dyDescent="0.2">
      <c r="B102" s="132"/>
      <c r="C102" s="149"/>
      <c r="D102" s="49">
        <v>88</v>
      </c>
      <c r="E102" s="978" t="str">
        <f>+'Li O school'!E102</f>
        <v>school 88</v>
      </c>
      <c r="F102" s="978" t="str">
        <f>+'Li O school'!F102</f>
        <v>11AA</v>
      </c>
      <c r="G102" s="833">
        <f>'Li O school'!I102</f>
        <v>0</v>
      </c>
      <c r="H102" s="833">
        <f>'Li O school'!J102</f>
        <v>0</v>
      </c>
      <c r="I102" s="833">
        <f>'Li O school'!K102</f>
        <v>0</v>
      </c>
      <c r="J102" s="833">
        <f>'Li O school'!L102</f>
        <v>0</v>
      </c>
      <c r="K102" s="833">
        <f>'Li O school'!M102</f>
        <v>0</v>
      </c>
      <c r="L102" s="833">
        <f>'Li O school'!N102</f>
        <v>0</v>
      </c>
      <c r="M102" s="70"/>
      <c r="N102" s="67">
        <f>ROUND(G102*tab!F$26,2)</f>
        <v>0</v>
      </c>
      <c r="O102" s="67">
        <f>ROUND(H102*tab!G$26,2)</f>
        <v>0</v>
      </c>
      <c r="P102" s="67">
        <f>ROUND(I102*tab!H$26,2)</f>
        <v>0</v>
      </c>
      <c r="Q102" s="67">
        <f>ROUND(J102*tab!I$26,2)</f>
        <v>0</v>
      </c>
      <c r="R102" s="67">
        <f>ROUND(K102*tab!J$26,2)</f>
        <v>0</v>
      </c>
      <c r="S102" s="70"/>
      <c r="T102" s="119">
        <v>0</v>
      </c>
      <c r="U102" s="119">
        <f t="shared" si="22"/>
        <v>0</v>
      </c>
      <c r="V102" s="119">
        <f t="shared" si="22"/>
        <v>0</v>
      </c>
      <c r="W102" s="119">
        <f t="shared" si="16"/>
        <v>0</v>
      </c>
      <c r="X102" s="119">
        <f t="shared" si="17"/>
        <v>0</v>
      </c>
      <c r="Y102" s="70"/>
      <c r="Z102" s="67">
        <f>+G102*tab!F$30</f>
        <v>0</v>
      </c>
      <c r="AA102" s="67">
        <f>+H102*tab!G$30</f>
        <v>0</v>
      </c>
      <c r="AB102" s="67">
        <f>+I102*tab!H$30</f>
        <v>0</v>
      </c>
      <c r="AC102" s="67">
        <f>+J102*tab!I$30</f>
        <v>0</v>
      </c>
      <c r="AD102" s="67">
        <f>+K102*tab!J$30</f>
        <v>0</v>
      </c>
      <c r="AE102" s="70"/>
      <c r="AF102" s="562">
        <v>0</v>
      </c>
      <c r="AG102" s="119">
        <f t="shared" si="18"/>
        <v>0</v>
      </c>
      <c r="AH102" s="119">
        <f t="shared" si="19"/>
        <v>0</v>
      </c>
      <c r="AI102" s="119">
        <f t="shared" si="20"/>
        <v>0</v>
      </c>
      <c r="AJ102" s="119">
        <f t="shared" si="21"/>
        <v>0</v>
      </c>
      <c r="AK102" s="792"/>
      <c r="AL102" s="1481"/>
    </row>
    <row r="103" spans="2:38" s="112" customFormat="1" x14ac:dyDescent="0.2">
      <c r="B103" s="132"/>
      <c r="C103" s="149"/>
      <c r="D103" s="49">
        <v>89</v>
      </c>
      <c r="E103" s="978" t="str">
        <f>+'Li O school'!E103</f>
        <v>school 89</v>
      </c>
      <c r="F103" s="978" t="str">
        <f>+'Li O school'!F103</f>
        <v>11AA</v>
      </c>
      <c r="G103" s="833">
        <f>'Li O school'!I103</f>
        <v>0</v>
      </c>
      <c r="H103" s="833">
        <f>'Li O school'!J103</f>
        <v>0</v>
      </c>
      <c r="I103" s="833">
        <f>'Li O school'!K103</f>
        <v>0</v>
      </c>
      <c r="J103" s="833">
        <f>'Li O school'!L103</f>
        <v>0</v>
      </c>
      <c r="K103" s="833">
        <f>'Li O school'!M103</f>
        <v>0</v>
      </c>
      <c r="L103" s="833">
        <f>'Li O school'!N103</f>
        <v>0</v>
      </c>
      <c r="M103" s="70"/>
      <c r="N103" s="67">
        <f>ROUND(G103*tab!F$26,2)</f>
        <v>0</v>
      </c>
      <c r="O103" s="67">
        <f>ROUND(H103*tab!G$26,2)</f>
        <v>0</v>
      </c>
      <c r="P103" s="67">
        <f>ROUND(I103*tab!H$26,2)</f>
        <v>0</v>
      </c>
      <c r="Q103" s="67">
        <f>ROUND(J103*tab!I$26,2)</f>
        <v>0</v>
      </c>
      <c r="R103" s="67">
        <f>ROUND(K103*tab!J$26,2)</f>
        <v>0</v>
      </c>
      <c r="S103" s="70"/>
      <c r="T103" s="119">
        <v>0</v>
      </c>
      <c r="U103" s="119">
        <f t="shared" si="22"/>
        <v>0</v>
      </c>
      <c r="V103" s="119">
        <f t="shared" si="22"/>
        <v>0</v>
      </c>
      <c r="W103" s="119">
        <f t="shared" si="16"/>
        <v>0</v>
      </c>
      <c r="X103" s="119">
        <f t="shared" si="17"/>
        <v>0</v>
      </c>
      <c r="Y103" s="70"/>
      <c r="Z103" s="67">
        <f>+G103*tab!F$30</f>
        <v>0</v>
      </c>
      <c r="AA103" s="67">
        <f>+H103*tab!G$30</f>
        <v>0</v>
      </c>
      <c r="AB103" s="67">
        <f>+I103*tab!H$30</f>
        <v>0</v>
      </c>
      <c r="AC103" s="67">
        <f>+J103*tab!I$30</f>
        <v>0</v>
      </c>
      <c r="AD103" s="67">
        <f>+K103*tab!J$30</f>
        <v>0</v>
      </c>
      <c r="AE103" s="70"/>
      <c r="AF103" s="562">
        <v>0</v>
      </c>
      <c r="AG103" s="119">
        <f t="shared" si="18"/>
        <v>0</v>
      </c>
      <c r="AH103" s="119">
        <f t="shared" si="19"/>
        <v>0</v>
      </c>
      <c r="AI103" s="119">
        <f t="shared" si="20"/>
        <v>0</v>
      </c>
      <c r="AJ103" s="119">
        <f t="shared" si="21"/>
        <v>0</v>
      </c>
      <c r="AK103" s="792"/>
      <c r="AL103" s="1481"/>
    </row>
    <row r="104" spans="2:38" s="112" customFormat="1" x14ac:dyDescent="0.2">
      <c r="B104" s="132"/>
      <c r="C104" s="149"/>
      <c r="D104" s="49">
        <v>90</v>
      </c>
      <c r="E104" s="978" t="str">
        <f>+'Li O school'!E104</f>
        <v>school 90</v>
      </c>
      <c r="F104" s="978" t="str">
        <f>+'Li O school'!F104</f>
        <v>11AA</v>
      </c>
      <c r="G104" s="833">
        <f>'Li O school'!I104</f>
        <v>0</v>
      </c>
      <c r="H104" s="833">
        <f>'Li O school'!J104</f>
        <v>0</v>
      </c>
      <c r="I104" s="833">
        <f>'Li O school'!K104</f>
        <v>0</v>
      </c>
      <c r="J104" s="833">
        <f>'Li O school'!L104</f>
        <v>0</v>
      </c>
      <c r="K104" s="833">
        <f>'Li O school'!M104</f>
        <v>0</v>
      </c>
      <c r="L104" s="833">
        <f>'Li O school'!N104</f>
        <v>0</v>
      </c>
      <c r="M104" s="70"/>
      <c r="N104" s="67">
        <f>ROUND(G104*tab!F$26,2)</f>
        <v>0</v>
      </c>
      <c r="O104" s="67">
        <f>ROUND(H104*tab!G$26,2)</f>
        <v>0</v>
      </c>
      <c r="P104" s="67">
        <f>ROUND(I104*tab!H$26,2)</f>
        <v>0</v>
      </c>
      <c r="Q104" s="67">
        <f>ROUND(J104*tab!I$26,2)</f>
        <v>0</v>
      </c>
      <c r="R104" s="67">
        <f>ROUND(K104*tab!J$26,2)</f>
        <v>0</v>
      </c>
      <c r="S104" s="70"/>
      <c r="T104" s="119">
        <v>0</v>
      </c>
      <c r="U104" s="119">
        <f t="shared" si="22"/>
        <v>0</v>
      </c>
      <c r="V104" s="119">
        <f t="shared" si="22"/>
        <v>0</v>
      </c>
      <c r="W104" s="119">
        <f t="shared" si="16"/>
        <v>0</v>
      </c>
      <c r="X104" s="119">
        <f t="shared" si="17"/>
        <v>0</v>
      </c>
      <c r="Y104" s="70"/>
      <c r="Z104" s="67">
        <f>+G104*tab!F$30</f>
        <v>0</v>
      </c>
      <c r="AA104" s="67">
        <f>+H104*tab!G$30</f>
        <v>0</v>
      </c>
      <c r="AB104" s="67">
        <f>+I104*tab!H$30</f>
        <v>0</v>
      </c>
      <c r="AC104" s="67">
        <f>+J104*tab!I$30</f>
        <v>0</v>
      </c>
      <c r="AD104" s="67">
        <f>+K104*tab!J$30</f>
        <v>0</v>
      </c>
      <c r="AE104" s="70"/>
      <c r="AF104" s="562">
        <v>0</v>
      </c>
      <c r="AG104" s="119">
        <f t="shared" si="18"/>
        <v>0</v>
      </c>
      <c r="AH104" s="119">
        <f t="shared" si="19"/>
        <v>0</v>
      </c>
      <c r="AI104" s="119">
        <f t="shared" si="20"/>
        <v>0</v>
      </c>
      <c r="AJ104" s="119">
        <f t="shared" si="21"/>
        <v>0</v>
      </c>
      <c r="AK104" s="792"/>
      <c r="AL104" s="1481"/>
    </row>
    <row r="105" spans="2:38" s="112" customFormat="1" x14ac:dyDescent="0.2">
      <c r="B105" s="132"/>
      <c r="C105" s="149"/>
      <c r="D105" s="49">
        <v>91</v>
      </c>
      <c r="E105" s="978" t="str">
        <f>+'Li O school'!E105</f>
        <v>school 91</v>
      </c>
      <c r="F105" s="978" t="str">
        <f>+'Li O school'!F105</f>
        <v>11AA</v>
      </c>
      <c r="G105" s="833">
        <f>'Li O school'!I105</f>
        <v>0</v>
      </c>
      <c r="H105" s="833">
        <f>'Li O school'!J105</f>
        <v>0</v>
      </c>
      <c r="I105" s="833">
        <f>'Li O school'!K105</f>
        <v>0</v>
      </c>
      <c r="J105" s="833">
        <f>'Li O school'!L105</f>
        <v>0</v>
      </c>
      <c r="K105" s="833">
        <f>'Li O school'!M105</f>
        <v>0</v>
      </c>
      <c r="L105" s="833">
        <f>'Li O school'!N105</f>
        <v>0</v>
      </c>
      <c r="M105" s="70"/>
      <c r="N105" s="67">
        <f>ROUND(G105*tab!F$26,2)</f>
        <v>0</v>
      </c>
      <c r="O105" s="67">
        <f>ROUND(H105*tab!G$26,2)</f>
        <v>0</v>
      </c>
      <c r="P105" s="67">
        <f>ROUND(I105*tab!H$26,2)</f>
        <v>0</v>
      </c>
      <c r="Q105" s="67">
        <f>ROUND(J105*tab!I$26,2)</f>
        <v>0</v>
      </c>
      <c r="R105" s="67">
        <f>ROUND(K105*tab!J$26,2)</f>
        <v>0</v>
      </c>
      <c r="S105" s="70"/>
      <c r="T105" s="119">
        <v>0</v>
      </c>
      <c r="U105" s="119">
        <f t="shared" si="22"/>
        <v>0</v>
      </c>
      <c r="V105" s="119">
        <f t="shared" si="22"/>
        <v>0</v>
      </c>
      <c r="W105" s="119">
        <f t="shared" si="16"/>
        <v>0</v>
      </c>
      <c r="X105" s="119">
        <f t="shared" si="17"/>
        <v>0</v>
      </c>
      <c r="Y105" s="70"/>
      <c r="Z105" s="67">
        <f>+G105*tab!F$30</f>
        <v>0</v>
      </c>
      <c r="AA105" s="67">
        <f>+H105*tab!G$30</f>
        <v>0</v>
      </c>
      <c r="AB105" s="67">
        <f>+I105*tab!H$30</f>
        <v>0</v>
      </c>
      <c r="AC105" s="67">
        <f>+J105*tab!I$30</f>
        <v>0</v>
      </c>
      <c r="AD105" s="67">
        <f>+K105*tab!J$30</f>
        <v>0</v>
      </c>
      <c r="AE105" s="70"/>
      <c r="AF105" s="562">
        <v>0</v>
      </c>
      <c r="AG105" s="119">
        <f t="shared" si="18"/>
        <v>0</v>
      </c>
      <c r="AH105" s="119">
        <f t="shared" si="19"/>
        <v>0</v>
      </c>
      <c r="AI105" s="119">
        <f t="shared" si="20"/>
        <v>0</v>
      </c>
      <c r="AJ105" s="119">
        <f t="shared" si="21"/>
        <v>0</v>
      </c>
      <c r="AK105" s="792"/>
      <c r="AL105" s="1481"/>
    </row>
    <row r="106" spans="2:38" s="112" customFormat="1" x14ac:dyDescent="0.2">
      <c r="B106" s="132"/>
      <c r="C106" s="149"/>
      <c r="D106" s="49">
        <v>92</v>
      </c>
      <c r="E106" s="978" t="str">
        <f>+'Li O school'!E106</f>
        <v>school 92</v>
      </c>
      <c r="F106" s="978" t="str">
        <f>+'Li O school'!F106</f>
        <v>11AA</v>
      </c>
      <c r="G106" s="833">
        <f>'Li O school'!I106</f>
        <v>0</v>
      </c>
      <c r="H106" s="833">
        <f>'Li O school'!J106</f>
        <v>0</v>
      </c>
      <c r="I106" s="833">
        <f>'Li O school'!K106</f>
        <v>0</v>
      </c>
      <c r="J106" s="833">
        <f>'Li O school'!L106</f>
        <v>0</v>
      </c>
      <c r="K106" s="833">
        <f>'Li O school'!M106</f>
        <v>0</v>
      </c>
      <c r="L106" s="833">
        <f>'Li O school'!N106</f>
        <v>0</v>
      </c>
      <c r="M106" s="70"/>
      <c r="N106" s="67">
        <f>ROUND(G106*tab!F$26,2)</f>
        <v>0</v>
      </c>
      <c r="O106" s="67">
        <f>ROUND(H106*tab!G$26,2)</f>
        <v>0</v>
      </c>
      <c r="P106" s="67">
        <f>ROUND(I106*tab!H$26,2)</f>
        <v>0</v>
      </c>
      <c r="Q106" s="67">
        <f>ROUND(J106*tab!I$26,2)</f>
        <v>0</v>
      </c>
      <c r="R106" s="67">
        <f>ROUND(K106*tab!J$26,2)</f>
        <v>0</v>
      </c>
      <c r="S106" s="70"/>
      <c r="T106" s="119">
        <v>0</v>
      </c>
      <c r="U106" s="119">
        <f t="shared" si="22"/>
        <v>0</v>
      </c>
      <c r="V106" s="119">
        <f t="shared" si="22"/>
        <v>0</v>
      </c>
      <c r="W106" s="119">
        <f t="shared" si="16"/>
        <v>0</v>
      </c>
      <c r="X106" s="119">
        <f t="shared" si="17"/>
        <v>0</v>
      </c>
      <c r="Y106" s="70"/>
      <c r="Z106" s="67">
        <f>+G106*tab!F$30</f>
        <v>0</v>
      </c>
      <c r="AA106" s="67">
        <f>+H106*tab!G$30</f>
        <v>0</v>
      </c>
      <c r="AB106" s="67">
        <f>+I106*tab!H$30</f>
        <v>0</v>
      </c>
      <c r="AC106" s="67">
        <f>+J106*tab!I$30</f>
        <v>0</v>
      </c>
      <c r="AD106" s="67">
        <f>+K106*tab!J$30</f>
        <v>0</v>
      </c>
      <c r="AE106" s="70"/>
      <c r="AF106" s="562">
        <v>0</v>
      </c>
      <c r="AG106" s="119">
        <f t="shared" si="18"/>
        <v>0</v>
      </c>
      <c r="AH106" s="119">
        <f t="shared" si="19"/>
        <v>0</v>
      </c>
      <c r="AI106" s="119">
        <f t="shared" si="20"/>
        <v>0</v>
      </c>
      <c r="AJ106" s="119">
        <f t="shared" si="21"/>
        <v>0</v>
      </c>
      <c r="AK106" s="792"/>
      <c r="AL106" s="1481"/>
    </row>
    <row r="107" spans="2:38" s="112" customFormat="1" x14ac:dyDescent="0.2">
      <c r="B107" s="132"/>
      <c r="C107" s="149"/>
      <c r="D107" s="49">
        <v>93</v>
      </c>
      <c r="E107" s="978" t="str">
        <f>+'Li O school'!E107</f>
        <v>school 93</v>
      </c>
      <c r="F107" s="978" t="str">
        <f>+'Li O school'!F107</f>
        <v>11AA</v>
      </c>
      <c r="G107" s="833">
        <f>'Li O school'!I107</f>
        <v>0</v>
      </c>
      <c r="H107" s="833">
        <f>'Li O school'!J107</f>
        <v>0</v>
      </c>
      <c r="I107" s="833">
        <f>'Li O school'!K107</f>
        <v>0</v>
      </c>
      <c r="J107" s="833">
        <f>'Li O school'!L107</f>
        <v>0</v>
      </c>
      <c r="K107" s="833">
        <f>'Li O school'!M107</f>
        <v>0</v>
      </c>
      <c r="L107" s="833">
        <f>'Li O school'!N107</f>
        <v>0</v>
      </c>
      <c r="M107" s="70"/>
      <c r="N107" s="67">
        <f>ROUND(G107*tab!F$26,2)</f>
        <v>0</v>
      </c>
      <c r="O107" s="67">
        <f>ROUND(H107*tab!G$26,2)</f>
        <v>0</v>
      </c>
      <c r="P107" s="67">
        <f>ROUND(I107*tab!H$26,2)</f>
        <v>0</v>
      </c>
      <c r="Q107" s="67">
        <f>ROUND(J107*tab!I$26,2)</f>
        <v>0</v>
      </c>
      <c r="R107" s="67">
        <f>ROUND(K107*tab!J$26,2)</f>
        <v>0</v>
      </c>
      <c r="S107" s="70"/>
      <c r="T107" s="119">
        <v>0</v>
      </c>
      <c r="U107" s="119">
        <f t="shared" si="22"/>
        <v>0</v>
      </c>
      <c r="V107" s="119">
        <f t="shared" si="22"/>
        <v>0</v>
      </c>
      <c r="W107" s="119">
        <f t="shared" si="16"/>
        <v>0</v>
      </c>
      <c r="X107" s="119">
        <f t="shared" si="17"/>
        <v>0</v>
      </c>
      <c r="Y107" s="70"/>
      <c r="Z107" s="67">
        <f>+G107*tab!F$30</f>
        <v>0</v>
      </c>
      <c r="AA107" s="67">
        <f>+H107*tab!G$30</f>
        <v>0</v>
      </c>
      <c r="AB107" s="67">
        <f>+I107*tab!H$30</f>
        <v>0</v>
      </c>
      <c r="AC107" s="67">
        <f>+J107*tab!I$30</f>
        <v>0</v>
      </c>
      <c r="AD107" s="67">
        <f>+K107*tab!J$30</f>
        <v>0</v>
      </c>
      <c r="AE107" s="70"/>
      <c r="AF107" s="562">
        <v>0</v>
      </c>
      <c r="AG107" s="119">
        <f t="shared" si="18"/>
        <v>0</v>
      </c>
      <c r="AH107" s="119">
        <f t="shared" si="19"/>
        <v>0</v>
      </c>
      <c r="AI107" s="119">
        <f t="shared" si="20"/>
        <v>0</v>
      </c>
      <c r="AJ107" s="119">
        <f t="shared" si="21"/>
        <v>0</v>
      </c>
      <c r="AK107" s="792"/>
      <c r="AL107" s="1481"/>
    </row>
    <row r="108" spans="2:38" s="112" customFormat="1" x14ac:dyDescent="0.2">
      <c r="B108" s="132"/>
      <c r="C108" s="149"/>
      <c r="D108" s="49">
        <v>94</v>
      </c>
      <c r="E108" s="978" t="str">
        <f>+'Li O school'!E108</f>
        <v>school 94</v>
      </c>
      <c r="F108" s="978" t="str">
        <f>+'Li O school'!F108</f>
        <v>11AA</v>
      </c>
      <c r="G108" s="833">
        <f>'Li O school'!I108</f>
        <v>0</v>
      </c>
      <c r="H108" s="833">
        <f>'Li O school'!J108</f>
        <v>0</v>
      </c>
      <c r="I108" s="833">
        <f>'Li O school'!K108</f>
        <v>0</v>
      </c>
      <c r="J108" s="833">
        <f>'Li O school'!L108</f>
        <v>0</v>
      </c>
      <c r="K108" s="833">
        <f>'Li O school'!M108</f>
        <v>0</v>
      </c>
      <c r="L108" s="833">
        <f>'Li O school'!N108</f>
        <v>0</v>
      </c>
      <c r="M108" s="70"/>
      <c r="N108" s="67">
        <f>ROUND(G108*tab!F$26,2)</f>
        <v>0</v>
      </c>
      <c r="O108" s="67">
        <f>ROUND(H108*tab!G$26,2)</f>
        <v>0</v>
      </c>
      <c r="P108" s="67">
        <f>ROUND(I108*tab!H$26,2)</f>
        <v>0</v>
      </c>
      <c r="Q108" s="67">
        <f>ROUND(J108*tab!I$26,2)</f>
        <v>0</v>
      </c>
      <c r="R108" s="67">
        <f>ROUND(K108*tab!J$26,2)</f>
        <v>0</v>
      </c>
      <c r="S108" s="70"/>
      <c r="T108" s="119">
        <v>0</v>
      </c>
      <c r="U108" s="119">
        <f t="shared" si="22"/>
        <v>0</v>
      </c>
      <c r="V108" s="119">
        <f t="shared" si="22"/>
        <v>0</v>
      </c>
      <c r="W108" s="119">
        <f t="shared" si="16"/>
        <v>0</v>
      </c>
      <c r="X108" s="119">
        <f t="shared" si="17"/>
        <v>0</v>
      </c>
      <c r="Y108" s="70"/>
      <c r="Z108" s="67">
        <f>+G108*tab!F$30</f>
        <v>0</v>
      </c>
      <c r="AA108" s="67">
        <f>+H108*tab!G$30</f>
        <v>0</v>
      </c>
      <c r="AB108" s="67">
        <f>+I108*tab!H$30</f>
        <v>0</v>
      </c>
      <c r="AC108" s="67">
        <f>+J108*tab!I$30</f>
        <v>0</v>
      </c>
      <c r="AD108" s="67">
        <f>+K108*tab!J$30</f>
        <v>0</v>
      </c>
      <c r="AE108" s="70"/>
      <c r="AF108" s="562">
        <v>0</v>
      </c>
      <c r="AG108" s="119">
        <f t="shared" si="18"/>
        <v>0</v>
      </c>
      <c r="AH108" s="119">
        <f t="shared" si="19"/>
        <v>0</v>
      </c>
      <c r="AI108" s="119">
        <f t="shared" si="20"/>
        <v>0</v>
      </c>
      <c r="AJ108" s="119">
        <f t="shared" si="21"/>
        <v>0</v>
      </c>
      <c r="AK108" s="792"/>
      <c r="AL108" s="1481"/>
    </row>
    <row r="109" spans="2:38" s="112" customFormat="1" x14ac:dyDescent="0.2">
      <c r="B109" s="132"/>
      <c r="C109" s="149"/>
      <c r="D109" s="49">
        <v>95</v>
      </c>
      <c r="E109" s="978" t="str">
        <f>+'Li O school'!E109</f>
        <v>school 95</v>
      </c>
      <c r="F109" s="978" t="str">
        <f>+'Li O school'!F109</f>
        <v>11AA</v>
      </c>
      <c r="G109" s="833">
        <f>'Li O school'!I109</f>
        <v>0</v>
      </c>
      <c r="H109" s="833">
        <f>'Li O school'!J109</f>
        <v>0</v>
      </c>
      <c r="I109" s="833">
        <f>'Li O school'!K109</f>
        <v>0</v>
      </c>
      <c r="J109" s="833">
        <f>'Li O school'!L109</f>
        <v>0</v>
      </c>
      <c r="K109" s="833">
        <f>'Li O school'!M109</f>
        <v>0</v>
      </c>
      <c r="L109" s="833">
        <f>'Li O school'!N109</f>
        <v>0</v>
      </c>
      <c r="M109" s="70"/>
      <c r="N109" s="67">
        <f>ROUND(G109*tab!F$26,2)</f>
        <v>0</v>
      </c>
      <c r="O109" s="67">
        <f>ROUND(H109*tab!G$26,2)</f>
        <v>0</v>
      </c>
      <c r="P109" s="67">
        <f>ROUND(I109*tab!H$26,2)</f>
        <v>0</v>
      </c>
      <c r="Q109" s="67">
        <f>ROUND(J109*tab!I$26,2)</f>
        <v>0</v>
      </c>
      <c r="R109" s="67">
        <f>ROUND(K109*tab!J$26,2)</f>
        <v>0</v>
      </c>
      <c r="S109" s="70"/>
      <c r="T109" s="119">
        <v>0</v>
      </c>
      <c r="U109" s="119">
        <f t="shared" si="22"/>
        <v>0</v>
      </c>
      <c r="V109" s="119">
        <f t="shared" si="22"/>
        <v>0</v>
      </c>
      <c r="W109" s="119">
        <f t="shared" si="16"/>
        <v>0</v>
      </c>
      <c r="X109" s="119">
        <f t="shared" si="17"/>
        <v>0</v>
      </c>
      <c r="Y109" s="70"/>
      <c r="Z109" s="67">
        <f>+G109*tab!F$30</f>
        <v>0</v>
      </c>
      <c r="AA109" s="67">
        <f>+H109*tab!G$30</f>
        <v>0</v>
      </c>
      <c r="AB109" s="67">
        <f>+I109*tab!H$30</f>
        <v>0</v>
      </c>
      <c r="AC109" s="67">
        <f>+J109*tab!I$30</f>
        <v>0</v>
      </c>
      <c r="AD109" s="67">
        <f>+K109*tab!J$30</f>
        <v>0</v>
      </c>
      <c r="AE109" s="70"/>
      <c r="AF109" s="562">
        <v>0</v>
      </c>
      <c r="AG109" s="119">
        <f t="shared" si="18"/>
        <v>0</v>
      </c>
      <c r="AH109" s="119">
        <f t="shared" si="19"/>
        <v>0</v>
      </c>
      <c r="AI109" s="119">
        <f t="shared" si="20"/>
        <v>0</v>
      </c>
      <c r="AJ109" s="119">
        <f t="shared" si="21"/>
        <v>0</v>
      </c>
      <c r="AK109" s="792"/>
      <c r="AL109" s="1481"/>
    </row>
    <row r="110" spans="2:38" s="112" customFormat="1" x14ac:dyDescent="0.2">
      <c r="B110" s="132"/>
      <c r="C110" s="149"/>
      <c r="D110" s="49">
        <v>96</v>
      </c>
      <c r="E110" s="978" t="str">
        <f>+'Li O school'!E110</f>
        <v>school 96</v>
      </c>
      <c r="F110" s="978" t="str">
        <f>+'Li O school'!F110</f>
        <v>11AA</v>
      </c>
      <c r="G110" s="833">
        <f>'Li O school'!I110</f>
        <v>0</v>
      </c>
      <c r="H110" s="833">
        <f>'Li O school'!J110</f>
        <v>0</v>
      </c>
      <c r="I110" s="833">
        <f>'Li O school'!K110</f>
        <v>0</v>
      </c>
      <c r="J110" s="833">
        <f>'Li O school'!L110</f>
        <v>0</v>
      </c>
      <c r="K110" s="833">
        <f>'Li O school'!M110</f>
        <v>0</v>
      </c>
      <c r="L110" s="833">
        <f>'Li O school'!N110</f>
        <v>0</v>
      </c>
      <c r="M110" s="70"/>
      <c r="N110" s="67">
        <f>ROUND(G110*tab!F$26,2)</f>
        <v>0</v>
      </c>
      <c r="O110" s="67">
        <f>ROUND(H110*tab!G$26,2)</f>
        <v>0</v>
      </c>
      <c r="P110" s="67">
        <f>ROUND(I110*tab!H$26,2)</f>
        <v>0</v>
      </c>
      <c r="Q110" s="67">
        <f>ROUND(J110*tab!I$26,2)</f>
        <v>0</v>
      </c>
      <c r="R110" s="67">
        <f>ROUND(K110*tab!J$26,2)</f>
        <v>0</v>
      </c>
      <c r="S110" s="70"/>
      <c r="T110" s="119">
        <v>0</v>
      </c>
      <c r="U110" s="119">
        <f t="shared" si="22"/>
        <v>0</v>
      </c>
      <c r="V110" s="119">
        <f t="shared" si="22"/>
        <v>0</v>
      </c>
      <c r="W110" s="119">
        <f t="shared" si="16"/>
        <v>0</v>
      </c>
      <c r="X110" s="119">
        <f t="shared" si="17"/>
        <v>0</v>
      </c>
      <c r="Y110" s="70"/>
      <c r="Z110" s="67">
        <f>+G110*tab!F$30</f>
        <v>0</v>
      </c>
      <c r="AA110" s="67">
        <f>+H110*tab!G$30</f>
        <v>0</v>
      </c>
      <c r="AB110" s="67">
        <f>+I110*tab!H$30</f>
        <v>0</v>
      </c>
      <c r="AC110" s="67">
        <f>+J110*tab!I$30</f>
        <v>0</v>
      </c>
      <c r="AD110" s="67">
        <f>+K110*tab!J$30</f>
        <v>0</v>
      </c>
      <c r="AE110" s="70"/>
      <c r="AF110" s="562">
        <v>0</v>
      </c>
      <c r="AG110" s="119">
        <f t="shared" si="18"/>
        <v>0</v>
      </c>
      <c r="AH110" s="119">
        <f t="shared" si="19"/>
        <v>0</v>
      </c>
      <c r="AI110" s="119">
        <f t="shared" si="20"/>
        <v>0</v>
      </c>
      <c r="AJ110" s="119">
        <f t="shared" si="21"/>
        <v>0</v>
      </c>
      <c r="AK110" s="792"/>
      <c r="AL110" s="1481"/>
    </row>
    <row r="111" spans="2:38" s="112" customFormat="1" x14ac:dyDescent="0.2">
      <c r="B111" s="132"/>
      <c r="C111" s="149"/>
      <c r="D111" s="49">
        <v>97</v>
      </c>
      <c r="E111" s="978" t="str">
        <f>+'Li O school'!E111</f>
        <v>school 97</v>
      </c>
      <c r="F111" s="978" t="str">
        <f>+'Li O school'!F111</f>
        <v>11AA</v>
      </c>
      <c r="G111" s="833">
        <f>'Li O school'!I111</f>
        <v>0</v>
      </c>
      <c r="H111" s="833">
        <f>'Li O school'!J111</f>
        <v>0</v>
      </c>
      <c r="I111" s="833">
        <f>'Li O school'!K111</f>
        <v>0</v>
      </c>
      <c r="J111" s="833">
        <f>'Li O school'!L111</f>
        <v>0</v>
      </c>
      <c r="K111" s="833">
        <f>'Li O school'!M111</f>
        <v>0</v>
      </c>
      <c r="L111" s="833">
        <f>'Li O school'!N111</f>
        <v>0</v>
      </c>
      <c r="M111" s="70"/>
      <c r="N111" s="67">
        <f>ROUND(G111*tab!F$26,2)</f>
        <v>0</v>
      </c>
      <c r="O111" s="67">
        <f>ROUND(H111*tab!G$26,2)</f>
        <v>0</v>
      </c>
      <c r="P111" s="67">
        <f>ROUND(I111*tab!H$26,2)</f>
        <v>0</v>
      </c>
      <c r="Q111" s="67">
        <f>ROUND(J111*tab!I$26,2)</f>
        <v>0</v>
      </c>
      <c r="R111" s="67">
        <f>ROUND(K111*tab!J$26,2)</f>
        <v>0</v>
      </c>
      <c r="S111" s="70"/>
      <c r="T111" s="119">
        <v>0</v>
      </c>
      <c r="U111" s="119">
        <f t="shared" si="22"/>
        <v>0</v>
      </c>
      <c r="V111" s="119">
        <f t="shared" si="22"/>
        <v>0</v>
      </c>
      <c r="W111" s="119">
        <f t="shared" si="16"/>
        <v>0</v>
      </c>
      <c r="X111" s="119">
        <f t="shared" si="17"/>
        <v>0</v>
      </c>
      <c r="Y111" s="70"/>
      <c r="Z111" s="67">
        <f>+G111*tab!F$30</f>
        <v>0</v>
      </c>
      <c r="AA111" s="67">
        <f>+H111*tab!G$30</f>
        <v>0</v>
      </c>
      <c r="AB111" s="67">
        <f>+I111*tab!H$30</f>
        <v>0</v>
      </c>
      <c r="AC111" s="67">
        <f>+J111*tab!I$30</f>
        <v>0</v>
      </c>
      <c r="AD111" s="67">
        <f>+K111*tab!J$30</f>
        <v>0</v>
      </c>
      <c r="AE111" s="70"/>
      <c r="AF111" s="562">
        <v>0</v>
      </c>
      <c r="AG111" s="119">
        <f t="shared" si="18"/>
        <v>0</v>
      </c>
      <c r="AH111" s="119">
        <f t="shared" si="19"/>
        <v>0</v>
      </c>
      <c r="AI111" s="119">
        <f t="shared" si="20"/>
        <v>0</v>
      </c>
      <c r="AJ111" s="119">
        <f t="shared" si="21"/>
        <v>0</v>
      </c>
      <c r="AK111" s="792"/>
      <c r="AL111" s="1481"/>
    </row>
    <row r="112" spans="2:38" s="112" customFormat="1" x14ac:dyDescent="0.2">
      <c r="B112" s="132"/>
      <c r="C112" s="149"/>
      <c r="D112" s="49">
        <v>98</v>
      </c>
      <c r="E112" s="978" t="str">
        <f>+'Li O school'!E112</f>
        <v>school 98</v>
      </c>
      <c r="F112" s="978" t="str">
        <f>+'Li O school'!F112</f>
        <v>11AA</v>
      </c>
      <c r="G112" s="833">
        <f>'Li O school'!I112</f>
        <v>0</v>
      </c>
      <c r="H112" s="833">
        <f>'Li O school'!J112</f>
        <v>0</v>
      </c>
      <c r="I112" s="833">
        <f>'Li O school'!K112</f>
        <v>0</v>
      </c>
      <c r="J112" s="833">
        <f>'Li O school'!L112</f>
        <v>0</v>
      </c>
      <c r="K112" s="833">
        <f>'Li O school'!M112</f>
        <v>0</v>
      </c>
      <c r="L112" s="833">
        <f>'Li O school'!N112</f>
        <v>0</v>
      </c>
      <c r="M112" s="70"/>
      <c r="N112" s="67">
        <f>ROUND(G112*tab!F$26,2)</f>
        <v>0</v>
      </c>
      <c r="O112" s="67">
        <f>ROUND(H112*tab!G$26,2)</f>
        <v>0</v>
      </c>
      <c r="P112" s="67">
        <f>ROUND(I112*tab!H$26,2)</f>
        <v>0</v>
      </c>
      <c r="Q112" s="67">
        <f>ROUND(J112*tab!I$26,2)</f>
        <v>0</v>
      </c>
      <c r="R112" s="67">
        <f>ROUND(K112*tab!J$26,2)</f>
        <v>0</v>
      </c>
      <c r="S112" s="70"/>
      <c r="T112" s="119">
        <v>0</v>
      </c>
      <c r="U112" s="119">
        <f t="shared" si="22"/>
        <v>0</v>
      </c>
      <c r="V112" s="119">
        <f t="shared" si="22"/>
        <v>0</v>
      </c>
      <c r="W112" s="119">
        <f t="shared" si="16"/>
        <v>0</v>
      </c>
      <c r="X112" s="119">
        <f t="shared" si="17"/>
        <v>0</v>
      </c>
      <c r="Y112" s="70"/>
      <c r="Z112" s="67">
        <f>+G112*tab!F$30</f>
        <v>0</v>
      </c>
      <c r="AA112" s="67">
        <f>+H112*tab!G$30</f>
        <v>0</v>
      </c>
      <c r="AB112" s="67">
        <f>+I112*tab!H$30</f>
        <v>0</v>
      </c>
      <c r="AC112" s="67">
        <f>+J112*tab!I$30</f>
        <v>0</v>
      </c>
      <c r="AD112" s="67">
        <f>+K112*tab!J$30</f>
        <v>0</v>
      </c>
      <c r="AE112" s="70"/>
      <c r="AF112" s="562">
        <v>0</v>
      </c>
      <c r="AG112" s="119">
        <f t="shared" si="18"/>
        <v>0</v>
      </c>
      <c r="AH112" s="119">
        <f t="shared" si="19"/>
        <v>0</v>
      </c>
      <c r="AI112" s="119">
        <f t="shared" si="20"/>
        <v>0</v>
      </c>
      <c r="AJ112" s="119">
        <f t="shared" si="21"/>
        <v>0</v>
      </c>
      <c r="AK112" s="792"/>
      <c r="AL112" s="1481"/>
    </row>
    <row r="113" spans="2:38" s="112" customFormat="1" x14ac:dyDescent="0.2">
      <c r="B113" s="132"/>
      <c r="C113" s="149"/>
      <c r="D113" s="49">
        <v>99</v>
      </c>
      <c r="E113" s="978" t="str">
        <f>+'Li O school'!E113</f>
        <v>school 99</v>
      </c>
      <c r="F113" s="978" t="str">
        <f>+'Li O school'!F113</f>
        <v>11AA</v>
      </c>
      <c r="G113" s="833">
        <f>'Li O school'!I113</f>
        <v>0</v>
      </c>
      <c r="H113" s="833">
        <f>'Li O school'!J113</f>
        <v>0</v>
      </c>
      <c r="I113" s="833">
        <f>'Li O school'!K113</f>
        <v>0</v>
      </c>
      <c r="J113" s="833">
        <f>'Li O school'!L113</f>
        <v>0</v>
      </c>
      <c r="K113" s="833">
        <f>'Li O school'!M113</f>
        <v>0</v>
      </c>
      <c r="L113" s="833">
        <f>'Li O school'!N113</f>
        <v>0</v>
      </c>
      <c r="M113" s="70"/>
      <c r="N113" s="67">
        <f>ROUND(G113*tab!F$26,2)</f>
        <v>0</v>
      </c>
      <c r="O113" s="67">
        <f>ROUND(H113*tab!G$26,2)</f>
        <v>0</v>
      </c>
      <c r="P113" s="67">
        <f>ROUND(I113*tab!H$26,2)</f>
        <v>0</v>
      </c>
      <c r="Q113" s="67">
        <f>ROUND(J113*tab!I$26,2)</f>
        <v>0</v>
      </c>
      <c r="R113" s="67">
        <f>ROUND(K113*tab!J$26,2)</f>
        <v>0</v>
      </c>
      <c r="S113" s="70"/>
      <c r="T113" s="119">
        <v>0</v>
      </c>
      <c r="U113" s="119">
        <f t="shared" si="22"/>
        <v>0</v>
      </c>
      <c r="V113" s="119">
        <f t="shared" si="22"/>
        <v>0</v>
      </c>
      <c r="W113" s="119">
        <f t="shared" si="16"/>
        <v>0</v>
      </c>
      <c r="X113" s="119">
        <f t="shared" si="17"/>
        <v>0</v>
      </c>
      <c r="Y113" s="70"/>
      <c r="Z113" s="67">
        <f>+G113*tab!F$30</f>
        <v>0</v>
      </c>
      <c r="AA113" s="67">
        <f>+H113*tab!G$30</f>
        <v>0</v>
      </c>
      <c r="AB113" s="67">
        <f>+I113*tab!H$30</f>
        <v>0</v>
      </c>
      <c r="AC113" s="67">
        <f>+J113*tab!I$30</f>
        <v>0</v>
      </c>
      <c r="AD113" s="67">
        <f>+K113*tab!J$30</f>
        <v>0</v>
      </c>
      <c r="AE113" s="70"/>
      <c r="AF113" s="562">
        <v>0</v>
      </c>
      <c r="AG113" s="119">
        <f t="shared" si="18"/>
        <v>0</v>
      </c>
      <c r="AH113" s="119">
        <f t="shared" si="19"/>
        <v>0</v>
      </c>
      <c r="AI113" s="119">
        <f t="shared" si="20"/>
        <v>0</v>
      </c>
      <c r="AJ113" s="119">
        <f t="shared" si="21"/>
        <v>0</v>
      </c>
      <c r="AK113" s="792"/>
      <c r="AL113" s="1481"/>
    </row>
    <row r="114" spans="2:38" s="112" customFormat="1" x14ac:dyDescent="0.2">
      <c r="B114" s="132"/>
      <c r="C114" s="149"/>
      <c r="D114" s="49">
        <v>100</v>
      </c>
      <c r="E114" s="978" t="str">
        <f>+'Li O school'!E114</f>
        <v>school 100</v>
      </c>
      <c r="F114" s="978" t="str">
        <f>+'Li O school'!F114</f>
        <v>11AA</v>
      </c>
      <c r="G114" s="833">
        <f>'Li O school'!I114</f>
        <v>0</v>
      </c>
      <c r="H114" s="833">
        <f>'Li O school'!J114</f>
        <v>0</v>
      </c>
      <c r="I114" s="833">
        <f>'Li O school'!K114</f>
        <v>0</v>
      </c>
      <c r="J114" s="833">
        <f>'Li O school'!L114</f>
        <v>0</v>
      </c>
      <c r="K114" s="833">
        <f>'Li O school'!M114</f>
        <v>0</v>
      </c>
      <c r="L114" s="833">
        <f>'Li O school'!N114</f>
        <v>0</v>
      </c>
      <c r="M114" s="70"/>
      <c r="N114" s="67">
        <f>ROUND(G114*tab!F$26,2)</f>
        <v>0</v>
      </c>
      <c r="O114" s="67">
        <f>ROUND(H114*tab!G$26,2)</f>
        <v>0</v>
      </c>
      <c r="P114" s="67">
        <f>ROUND(I114*tab!H$26,2)</f>
        <v>0</v>
      </c>
      <c r="Q114" s="67">
        <f>ROUND(J114*tab!I$26,2)</f>
        <v>0</v>
      </c>
      <c r="R114" s="67">
        <f>ROUND(K114*tab!J$26,2)</f>
        <v>0</v>
      </c>
      <c r="S114" s="70"/>
      <c r="T114" s="119">
        <v>0</v>
      </c>
      <c r="U114" s="119">
        <f t="shared" si="22"/>
        <v>0</v>
      </c>
      <c r="V114" s="119">
        <f t="shared" si="22"/>
        <v>0</v>
      </c>
      <c r="W114" s="119">
        <f t="shared" si="16"/>
        <v>0</v>
      </c>
      <c r="X114" s="119">
        <f t="shared" si="17"/>
        <v>0</v>
      </c>
      <c r="Y114" s="70"/>
      <c r="Z114" s="67">
        <f>+G114*tab!F$30</f>
        <v>0</v>
      </c>
      <c r="AA114" s="67">
        <f>+H114*tab!G$30</f>
        <v>0</v>
      </c>
      <c r="AB114" s="67">
        <f>+I114*tab!H$30</f>
        <v>0</v>
      </c>
      <c r="AC114" s="67">
        <f>+J114*tab!I$30</f>
        <v>0</v>
      </c>
      <c r="AD114" s="67">
        <f>+K114*tab!J$30</f>
        <v>0</v>
      </c>
      <c r="AE114" s="70"/>
      <c r="AF114" s="562">
        <v>0</v>
      </c>
      <c r="AG114" s="119">
        <f t="shared" si="18"/>
        <v>0</v>
      </c>
      <c r="AH114" s="119">
        <f t="shared" si="19"/>
        <v>0</v>
      </c>
      <c r="AI114" s="119">
        <f t="shared" si="20"/>
        <v>0</v>
      </c>
      <c r="AJ114" s="119">
        <f t="shared" si="21"/>
        <v>0</v>
      </c>
      <c r="AK114" s="792"/>
      <c r="AL114" s="1481"/>
    </row>
    <row r="115" spans="2:38" s="112" customFormat="1" x14ac:dyDescent="0.2">
      <c r="B115" s="132"/>
      <c r="C115" s="149"/>
      <c r="D115" s="49">
        <v>101</v>
      </c>
      <c r="E115" s="978" t="str">
        <f>+'Li O school'!E115</f>
        <v>school 101</v>
      </c>
      <c r="F115" s="978" t="str">
        <f>+'Li O school'!F115</f>
        <v>11AA</v>
      </c>
      <c r="G115" s="833">
        <f>'Li O school'!I115</f>
        <v>0</v>
      </c>
      <c r="H115" s="833">
        <f>'Li O school'!J115</f>
        <v>0</v>
      </c>
      <c r="I115" s="833">
        <f>'Li O school'!K115</f>
        <v>0</v>
      </c>
      <c r="J115" s="833">
        <f>'Li O school'!L115</f>
        <v>0</v>
      </c>
      <c r="K115" s="833">
        <f>'Li O school'!M115</f>
        <v>0</v>
      </c>
      <c r="L115" s="833">
        <f>'Li O school'!N115</f>
        <v>0</v>
      </c>
      <c r="M115" s="70"/>
      <c r="N115" s="67">
        <f>ROUND(G115*tab!F$26,2)</f>
        <v>0</v>
      </c>
      <c r="O115" s="67">
        <f>ROUND(H115*tab!G$26,2)</f>
        <v>0</v>
      </c>
      <c r="P115" s="67">
        <f>ROUND(I115*tab!H$26,2)</f>
        <v>0</v>
      </c>
      <c r="Q115" s="67">
        <f>ROUND(J115*tab!I$26,2)</f>
        <v>0</v>
      </c>
      <c r="R115" s="67">
        <f>ROUND(K115*tab!J$26,2)</f>
        <v>0</v>
      </c>
      <c r="S115" s="70"/>
      <c r="T115" s="119">
        <v>0</v>
      </c>
      <c r="U115" s="119">
        <f t="shared" ref="U115:V134" si="23">T115</f>
        <v>0</v>
      </c>
      <c r="V115" s="119">
        <f t="shared" si="23"/>
        <v>0</v>
      </c>
      <c r="W115" s="119">
        <f t="shared" si="16"/>
        <v>0</v>
      </c>
      <c r="X115" s="119">
        <f t="shared" si="17"/>
        <v>0</v>
      </c>
      <c r="Y115" s="70"/>
      <c r="Z115" s="67">
        <f>+G115*tab!F$30</f>
        <v>0</v>
      </c>
      <c r="AA115" s="67">
        <f>+H115*tab!G$30</f>
        <v>0</v>
      </c>
      <c r="AB115" s="67">
        <f>+I115*tab!H$30</f>
        <v>0</v>
      </c>
      <c r="AC115" s="67">
        <f>+J115*tab!I$30</f>
        <v>0</v>
      </c>
      <c r="AD115" s="67">
        <f>+K115*tab!J$30</f>
        <v>0</v>
      </c>
      <c r="AE115" s="70"/>
      <c r="AF115" s="562">
        <v>0</v>
      </c>
      <c r="AG115" s="119">
        <f t="shared" si="18"/>
        <v>0</v>
      </c>
      <c r="AH115" s="119">
        <f t="shared" si="19"/>
        <v>0</v>
      </c>
      <c r="AI115" s="119">
        <f t="shared" si="20"/>
        <v>0</v>
      </c>
      <c r="AJ115" s="119">
        <f t="shared" si="21"/>
        <v>0</v>
      </c>
      <c r="AK115" s="792"/>
      <c r="AL115" s="1481"/>
    </row>
    <row r="116" spans="2:38" s="112" customFormat="1" x14ac:dyDescent="0.2">
      <c r="B116" s="132"/>
      <c r="C116" s="149"/>
      <c r="D116" s="49">
        <v>102</v>
      </c>
      <c r="E116" s="978" t="str">
        <f>+'Li O school'!E116</f>
        <v>school 102</v>
      </c>
      <c r="F116" s="978" t="str">
        <f>+'Li O school'!F116</f>
        <v>11AA</v>
      </c>
      <c r="G116" s="833">
        <f>'Li O school'!I116</f>
        <v>0</v>
      </c>
      <c r="H116" s="833">
        <f>'Li O school'!J116</f>
        <v>0</v>
      </c>
      <c r="I116" s="833">
        <f>'Li O school'!K116</f>
        <v>0</v>
      </c>
      <c r="J116" s="833">
        <f>'Li O school'!L116</f>
        <v>0</v>
      </c>
      <c r="K116" s="833">
        <f>'Li O school'!M116</f>
        <v>0</v>
      </c>
      <c r="L116" s="833">
        <f>'Li O school'!N116</f>
        <v>0</v>
      </c>
      <c r="M116" s="70"/>
      <c r="N116" s="67">
        <f>ROUND(G116*tab!F$26,2)</f>
        <v>0</v>
      </c>
      <c r="O116" s="67">
        <f>ROUND(H116*tab!G$26,2)</f>
        <v>0</v>
      </c>
      <c r="P116" s="67">
        <f>ROUND(I116*tab!H$26,2)</f>
        <v>0</v>
      </c>
      <c r="Q116" s="67">
        <f>ROUND(J116*tab!I$26,2)</f>
        <v>0</v>
      </c>
      <c r="R116" s="67">
        <f>ROUND(K116*tab!J$26,2)</f>
        <v>0</v>
      </c>
      <c r="S116" s="70"/>
      <c r="T116" s="119">
        <v>0</v>
      </c>
      <c r="U116" s="119">
        <f t="shared" si="23"/>
        <v>0</v>
      </c>
      <c r="V116" s="119">
        <f t="shared" si="23"/>
        <v>0</v>
      </c>
      <c r="W116" s="119">
        <f t="shared" si="16"/>
        <v>0</v>
      </c>
      <c r="X116" s="119">
        <f t="shared" si="17"/>
        <v>0</v>
      </c>
      <c r="Y116" s="70"/>
      <c r="Z116" s="67">
        <f>+G116*tab!F$30</f>
        <v>0</v>
      </c>
      <c r="AA116" s="67">
        <f>+H116*tab!G$30</f>
        <v>0</v>
      </c>
      <c r="AB116" s="67">
        <f>+I116*tab!H$30</f>
        <v>0</v>
      </c>
      <c r="AC116" s="67">
        <f>+J116*tab!I$30</f>
        <v>0</v>
      </c>
      <c r="AD116" s="67">
        <f>+K116*tab!J$30</f>
        <v>0</v>
      </c>
      <c r="AE116" s="70"/>
      <c r="AF116" s="562">
        <v>0</v>
      </c>
      <c r="AG116" s="119">
        <f t="shared" si="18"/>
        <v>0</v>
      </c>
      <c r="AH116" s="119">
        <f t="shared" si="19"/>
        <v>0</v>
      </c>
      <c r="AI116" s="119">
        <f t="shared" si="20"/>
        <v>0</v>
      </c>
      <c r="AJ116" s="119">
        <f t="shared" si="21"/>
        <v>0</v>
      </c>
      <c r="AK116" s="792"/>
      <c r="AL116" s="1481"/>
    </row>
    <row r="117" spans="2:38" s="112" customFormat="1" x14ac:dyDescent="0.2">
      <c r="B117" s="132"/>
      <c r="C117" s="149"/>
      <c r="D117" s="49">
        <v>103</v>
      </c>
      <c r="E117" s="978" t="str">
        <f>+'Li O school'!E117</f>
        <v>school 103</v>
      </c>
      <c r="F117" s="978" t="str">
        <f>+'Li O school'!F117</f>
        <v>11AA</v>
      </c>
      <c r="G117" s="833">
        <f>'Li O school'!I117</f>
        <v>0</v>
      </c>
      <c r="H117" s="833">
        <f>'Li O school'!J117</f>
        <v>0</v>
      </c>
      <c r="I117" s="833">
        <f>'Li O school'!K117</f>
        <v>0</v>
      </c>
      <c r="J117" s="833">
        <f>'Li O school'!L117</f>
        <v>0</v>
      </c>
      <c r="K117" s="833">
        <f>'Li O school'!M117</f>
        <v>0</v>
      </c>
      <c r="L117" s="833">
        <f>'Li O school'!N117</f>
        <v>0</v>
      </c>
      <c r="M117" s="70"/>
      <c r="N117" s="67">
        <f>ROUND(G117*tab!F$26,2)</f>
        <v>0</v>
      </c>
      <c r="O117" s="67">
        <f>ROUND(H117*tab!G$26,2)</f>
        <v>0</v>
      </c>
      <c r="P117" s="67">
        <f>ROUND(I117*tab!H$26,2)</f>
        <v>0</v>
      </c>
      <c r="Q117" s="67">
        <f>ROUND(J117*tab!I$26,2)</f>
        <v>0</v>
      </c>
      <c r="R117" s="67">
        <f>ROUND(K117*tab!J$26,2)</f>
        <v>0</v>
      </c>
      <c r="S117" s="70"/>
      <c r="T117" s="119">
        <v>0</v>
      </c>
      <c r="U117" s="119">
        <f t="shared" si="23"/>
        <v>0</v>
      </c>
      <c r="V117" s="119">
        <f t="shared" si="23"/>
        <v>0</v>
      </c>
      <c r="W117" s="119">
        <f t="shared" si="16"/>
        <v>0</v>
      </c>
      <c r="X117" s="119">
        <f t="shared" si="17"/>
        <v>0</v>
      </c>
      <c r="Y117" s="70"/>
      <c r="Z117" s="67">
        <f>+G117*tab!F$30</f>
        <v>0</v>
      </c>
      <c r="AA117" s="67">
        <f>+H117*tab!G$30</f>
        <v>0</v>
      </c>
      <c r="AB117" s="67">
        <f>+I117*tab!H$30</f>
        <v>0</v>
      </c>
      <c r="AC117" s="67">
        <f>+J117*tab!I$30</f>
        <v>0</v>
      </c>
      <c r="AD117" s="67">
        <f>+K117*tab!J$30</f>
        <v>0</v>
      </c>
      <c r="AE117" s="70"/>
      <c r="AF117" s="562">
        <v>0</v>
      </c>
      <c r="AG117" s="119">
        <f t="shared" si="18"/>
        <v>0</v>
      </c>
      <c r="AH117" s="119">
        <f t="shared" si="19"/>
        <v>0</v>
      </c>
      <c r="AI117" s="119">
        <f t="shared" si="20"/>
        <v>0</v>
      </c>
      <c r="AJ117" s="119">
        <f t="shared" si="21"/>
        <v>0</v>
      </c>
      <c r="AK117" s="792"/>
      <c r="AL117" s="1481"/>
    </row>
    <row r="118" spans="2:38" s="112" customFormat="1" x14ac:dyDescent="0.2">
      <c r="B118" s="132"/>
      <c r="C118" s="149"/>
      <c r="D118" s="49">
        <v>104</v>
      </c>
      <c r="E118" s="978" t="str">
        <f>+'Li O school'!E118</f>
        <v>school 104</v>
      </c>
      <c r="F118" s="978" t="str">
        <f>+'Li O school'!F118</f>
        <v>11AA</v>
      </c>
      <c r="G118" s="833">
        <f>'Li O school'!I118</f>
        <v>0</v>
      </c>
      <c r="H118" s="833">
        <f>'Li O school'!J118</f>
        <v>0</v>
      </c>
      <c r="I118" s="833">
        <f>'Li O school'!K118</f>
        <v>0</v>
      </c>
      <c r="J118" s="833">
        <f>'Li O school'!L118</f>
        <v>0</v>
      </c>
      <c r="K118" s="833">
        <f>'Li O school'!M118</f>
        <v>0</v>
      </c>
      <c r="L118" s="833">
        <f>'Li O school'!N118</f>
        <v>0</v>
      </c>
      <c r="M118" s="70"/>
      <c r="N118" s="67">
        <f>ROUND(G118*tab!F$26,2)</f>
        <v>0</v>
      </c>
      <c r="O118" s="67">
        <f>ROUND(H118*tab!G$26,2)</f>
        <v>0</v>
      </c>
      <c r="P118" s="67">
        <f>ROUND(I118*tab!H$26,2)</f>
        <v>0</v>
      </c>
      <c r="Q118" s="67">
        <f>ROUND(J118*tab!I$26,2)</f>
        <v>0</v>
      </c>
      <c r="R118" s="67">
        <f>ROUND(K118*tab!J$26,2)</f>
        <v>0</v>
      </c>
      <c r="S118" s="70"/>
      <c r="T118" s="119">
        <v>0</v>
      </c>
      <c r="U118" s="119">
        <f t="shared" si="23"/>
        <v>0</v>
      </c>
      <c r="V118" s="119">
        <f t="shared" si="23"/>
        <v>0</v>
      </c>
      <c r="W118" s="119">
        <f t="shared" si="16"/>
        <v>0</v>
      </c>
      <c r="X118" s="119">
        <f t="shared" si="17"/>
        <v>0</v>
      </c>
      <c r="Y118" s="70"/>
      <c r="Z118" s="67">
        <f>+G118*tab!F$30</f>
        <v>0</v>
      </c>
      <c r="AA118" s="67">
        <f>+H118*tab!G$30</f>
        <v>0</v>
      </c>
      <c r="AB118" s="67">
        <f>+I118*tab!H$30</f>
        <v>0</v>
      </c>
      <c r="AC118" s="67">
        <f>+J118*tab!I$30</f>
        <v>0</v>
      </c>
      <c r="AD118" s="67">
        <f>+K118*tab!J$30</f>
        <v>0</v>
      </c>
      <c r="AE118" s="70"/>
      <c r="AF118" s="562">
        <v>0</v>
      </c>
      <c r="AG118" s="119">
        <f t="shared" si="18"/>
        <v>0</v>
      </c>
      <c r="AH118" s="119">
        <f t="shared" si="19"/>
        <v>0</v>
      </c>
      <c r="AI118" s="119">
        <f t="shared" si="20"/>
        <v>0</v>
      </c>
      <c r="AJ118" s="119">
        <f t="shared" si="21"/>
        <v>0</v>
      </c>
      <c r="AK118" s="792"/>
      <c r="AL118" s="1481"/>
    </row>
    <row r="119" spans="2:38" s="112" customFormat="1" x14ac:dyDescent="0.2">
      <c r="B119" s="132"/>
      <c r="C119" s="149"/>
      <c r="D119" s="49">
        <v>105</v>
      </c>
      <c r="E119" s="978" t="str">
        <f>+'Li O school'!E119</f>
        <v>school 105</v>
      </c>
      <c r="F119" s="978" t="str">
        <f>+'Li O school'!F119</f>
        <v>11AA</v>
      </c>
      <c r="G119" s="833">
        <f>'Li O school'!I119</f>
        <v>0</v>
      </c>
      <c r="H119" s="833">
        <f>'Li O school'!J119</f>
        <v>0</v>
      </c>
      <c r="I119" s="833">
        <f>'Li O school'!K119</f>
        <v>0</v>
      </c>
      <c r="J119" s="833">
        <f>'Li O school'!L119</f>
        <v>0</v>
      </c>
      <c r="K119" s="833">
        <f>'Li O school'!M119</f>
        <v>0</v>
      </c>
      <c r="L119" s="833">
        <f>'Li O school'!N119</f>
        <v>0</v>
      </c>
      <c r="M119" s="70"/>
      <c r="N119" s="67">
        <f>ROUND(G119*tab!F$26,2)</f>
        <v>0</v>
      </c>
      <c r="O119" s="67">
        <f>ROUND(H119*tab!G$26,2)</f>
        <v>0</v>
      </c>
      <c r="P119" s="67">
        <f>ROUND(I119*tab!H$26,2)</f>
        <v>0</v>
      </c>
      <c r="Q119" s="67">
        <f>ROUND(J119*tab!I$26,2)</f>
        <v>0</v>
      </c>
      <c r="R119" s="67">
        <f>ROUND(K119*tab!J$26,2)</f>
        <v>0</v>
      </c>
      <c r="S119" s="70"/>
      <c r="T119" s="119">
        <v>0</v>
      </c>
      <c r="U119" s="119">
        <f t="shared" si="23"/>
        <v>0</v>
      </c>
      <c r="V119" s="119">
        <f t="shared" si="23"/>
        <v>0</v>
      </c>
      <c r="W119" s="119">
        <f t="shared" si="16"/>
        <v>0</v>
      </c>
      <c r="X119" s="119">
        <f t="shared" si="17"/>
        <v>0</v>
      </c>
      <c r="Y119" s="70"/>
      <c r="Z119" s="67">
        <f>+G119*tab!F$30</f>
        <v>0</v>
      </c>
      <c r="AA119" s="67">
        <f>+H119*tab!G$30</f>
        <v>0</v>
      </c>
      <c r="AB119" s="67">
        <f>+I119*tab!H$30</f>
        <v>0</v>
      </c>
      <c r="AC119" s="67">
        <f>+J119*tab!I$30</f>
        <v>0</v>
      </c>
      <c r="AD119" s="67">
        <f>+K119*tab!J$30</f>
        <v>0</v>
      </c>
      <c r="AE119" s="70"/>
      <c r="AF119" s="562">
        <v>0</v>
      </c>
      <c r="AG119" s="119">
        <f t="shared" si="18"/>
        <v>0</v>
      </c>
      <c r="AH119" s="119">
        <f t="shared" si="19"/>
        <v>0</v>
      </c>
      <c r="AI119" s="119">
        <f t="shared" si="20"/>
        <v>0</v>
      </c>
      <c r="AJ119" s="119">
        <f t="shared" si="21"/>
        <v>0</v>
      </c>
      <c r="AK119" s="792"/>
      <c r="AL119" s="1481"/>
    </row>
    <row r="120" spans="2:38" s="112" customFormat="1" x14ac:dyDescent="0.2">
      <c r="B120" s="132"/>
      <c r="C120" s="149"/>
      <c r="D120" s="49">
        <v>106</v>
      </c>
      <c r="E120" s="978" t="str">
        <f>+'Li O school'!E120</f>
        <v>school 106</v>
      </c>
      <c r="F120" s="978" t="str">
        <f>+'Li O school'!F120</f>
        <v>11AA</v>
      </c>
      <c r="G120" s="833">
        <f>'Li O school'!I120</f>
        <v>0</v>
      </c>
      <c r="H120" s="833">
        <f>'Li O school'!J120</f>
        <v>0</v>
      </c>
      <c r="I120" s="833">
        <f>'Li O school'!K120</f>
        <v>0</v>
      </c>
      <c r="J120" s="833">
        <f>'Li O school'!L120</f>
        <v>0</v>
      </c>
      <c r="K120" s="833">
        <f>'Li O school'!M120</f>
        <v>0</v>
      </c>
      <c r="L120" s="833">
        <f>'Li O school'!N120</f>
        <v>0</v>
      </c>
      <c r="M120" s="70"/>
      <c r="N120" s="67">
        <f>ROUND(G120*tab!F$26,2)</f>
        <v>0</v>
      </c>
      <c r="O120" s="67">
        <f>ROUND(H120*tab!G$26,2)</f>
        <v>0</v>
      </c>
      <c r="P120" s="67">
        <f>ROUND(I120*tab!H$26,2)</f>
        <v>0</v>
      </c>
      <c r="Q120" s="67">
        <f>ROUND(J120*tab!I$26,2)</f>
        <v>0</v>
      </c>
      <c r="R120" s="67">
        <f>ROUND(K120*tab!J$26,2)</f>
        <v>0</v>
      </c>
      <c r="S120" s="70"/>
      <c r="T120" s="119">
        <v>0</v>
      </c>
      <c r="U120" s="119">
        <f t="shared" si="23"/>
        <v>0</v>
      </c>
      <c r="V120" s="119">
        <f t="shared" si="23"/>
        <v>0</v>
      </c>
      <c r="W120" s="119">
        <f t="shared" si="16"/>
        <v>0</v>
      </c>
      <c r="X120" s="119">
        <f t="shared" si="17"/>
        <v>0</v>
      </c>
      <c r="Y120" s="70"/>
      <c r="Z120" s="67">
        <f>+G120*tab!F$30</f>
        <v>0</v>
      </c>
      <c r="AA120" s="67">
        <f>+H120*tab!G$30</f>
        <v>0</v>
      </c>
      <c r="AB120" s="67">
        <f>+I120*tab!H$30</f>
        <v>0</v>
      </c>
      <c r="AC120" s="67">
        <f>+J120*tab!I$30</f>
        <v>0</v>
      </c>
      <c r="AD120" s="67">
        <f>+K120*tab!J$30</f>
        <v>0</v>
      </c>
      <c r="AE120" s="70"/>
      <c r="AF120" s="562">
        <v>0</v>
      </c>
      <c r="AG120" s="119">
        <f t="shared" si="18"/>
        <v>0</v>
      </c>
      <c r="AH120" s="119">
        <f t="shared" si="19"/>
        <v>0</v>
      </c>
      <c r="AI120" s="119">
        <f t="shared" si="20"/>
        <v>0</v>
      </c>
      <c r="AJ120" s="119">
        <f t="shared" si="21"/>
        <v>0</v>
      </c>
      <c r="AK120" s="792"/>
      <c r="AL120" s="1481"/>
    </row>
    <row r="121" spans="2:38" s="112" customFormat="1" x14ac:dyDescent="0.2">
      <c r="B121" s="132"/>
      <c r="C121" s="149"/>
      <c r="D121" s="49">
        <v>107</v>
      </c>
      <c r="E121" s="978" t="str">
        <f>+'Li O school'!E121</f>
        <v>school 107</v>
      </c>
      <c r="F121" s="978" t="str">
        <f>+'Li O school'!F121</f>
        <v>11AA</v>
      </c>
      <c r="G121" s="833">
        <f>'Li O school'!I121</f>
        <v>0</v>
      </c>
      <c r="H121" s="833">
        <f>'Li O school'!J121</f>
        <v>0</v>
      </c>
      <c r="I121" s="833">
        <f>'Li O school'!K121</f>
        <v>0</v>
      </c>
      <c r="J121" s="833">
        <f>'Li O school'!L121</f>
        <v>0</v>
      </c>
      <c r="K121" s="833">
        <f>'Li O school'!M121</f>
        <v>0</v>
      </c>
      <c r="L121" s="833">
        <f>'Li O school'!N121</f>
        <v>0</v>
      </c>
      <c r="M121" s="70"/>
      <c r="N121" s="67">
        <f>ROUND(G121*tab!F$26,2)</f>
        <v>0</v>
      </c>
      <c r="O121" s="67">
        <f>ROUND(H121*tab!G$26,2)</f>
        <v>0</v>
      </c>
      <c r="P121" s="67">
        <f>ROUND(I121*tab!H$26,2)</f>
        <v>0</v>
      </c>
      <c r="Q121" s="67">
        <f>ROUND(J121*tab!I$26,2)</f>
        <v>0</v>
      </c>
      <c r="R121" s="67">
        <f>ROUND(K121*tab!J$26,2)</f>
        <v>0</v>
      </c>
      <c r="S121" s="70"/>
      <c r="T121" s="119">
        <v>0</v>
      </c>
      <c r="U121" s="119">
        <f t="shared" si="23"/>
        <v>0</v>
      </c>
      <c r="V121" s="119">
        <f t="shared" si="23"/>
        <v>0</v>
      </c>
      <c r="W121" s="119">
        <f t="shared" si="16"/>
        <v>0</v>
      </c>
      <c r="X121" s="119">
        <f t="shared" si="17"/>
        <v>0</v>
      </c>
      <c r="Y121" s="70"/>
      <c r="Z121" s="67">
        <f>+G121*tab!F$30</f>
        <v>0</v>
      </c>
      <c r="AA121" s="67">
        <f>+H121*tab!G$30</f>
        <v>0</v>
      </c>
      <c r="AB121" s="67">
        <f>+I121*tab!H$30</f>
        <v>0</v>
      </c>
      <c r="AC121" s="67">
        <f>+J121*tab!I$30</f>
        <v>0</v>
      </c>
      <c r="AD121" s="67">
        <f>+K121*tab!J$30</f>
        <v>0</v>
      </c>
      <c r="AE121" s="70"/>
      <c r="AF121" s="562">
        <v>0</v>
      </c>
      <c r="AG121" s="119">
        <f t="shared" si="18"/>
        <v>0</v>
      </c>
      <c r="AH121" s="119">
        <f t="shared" si="19"/>
        <v>0</v>
      </c>
      <c r="AI121" s="119">
        <f t="shared" si="20"/>
        <v>0</v>
      </c>
      <c r="AJ121" s="119">
        <f t="shared" si="21"/>
        <v>0</v>
      </c>
      <c r="AK121" s="792"/>
      <c r="AL121" s="1481"/>
    </row>
    <row r="122" spans="2:38" s="112" customFormat="1" x14ac:dyDescent="0.2">
      <c r="B122" s="132"/>
      <c r="C122" s="149"/>
      <c r="D122" s="49">
        <v>108</v>
      </c>
      <c r="E122" s="978" t="str">
        <f>+'Li O school'!E122</f>
        <v>school 108</v>
      </c>
      <c r="F122" s="978" t="str">
        <f>+'Li O school'!F122</f>
        <v>11AA</v>
      </c>
      <c r="G122" s="833">
        <f>'Li O school'!I122</f>
        <v>0</v>
      </c>
      <c r="H122" s="833">
        <f>'Li O school'!J122</f>
        <v>0</v>
      </c>
      <c r="I122" s="833">
        <f>'Li O school'!K122</f>
        <v>0</v>
      </c>
      <c r="J122" s="833">
        <f>'Li O school'!L122</f>
        <v>0</v>
      </c>
      <c r="K122" s="833">
        <f>'Li O school'!M122</f>
        <v>0</v>
      </c>
      <c r="L122" s="833">
        <f>'Li O school'!N122</f>
        <v>0</v>
      </c>
      <c r="M122" s="70"/>
      <c r="N122" s="67">
        <f>ROUND(G122*tab!F$26,2)</f>
        <v>0</v>
      </c>
      <c r="O122" s="67">
        <f>ROUND(H122*tab!G$26,2)</f>
        <v>0</v>
      </c>
      <c r="P122" s="67">
        <f>ROUND(I122*tab!H$26,2)</f>
        <v>0</v>
      </c>
      <c r="Q122" s="67">
        <f>ROUND(J122*tab!I$26,2)</f>
        <v>0</v>
      </c>
      <c r="R122" s="67">
        <f>ROUND(K122*tab!J$26,2)</f>
        <v>0</v>
      </c>
      <c r="S122" s="70"/>
      <c r="T122" s="119">
        <v>0</v>
      </c>
      <c r="U122" s="119">
        <f t="shared" si="23"/>
        <v>0</v>
      </c>
      <c r="V122" s="119">
        <f t="shared" si="23"/>
        <v>0</v>
      </c>
      <c r="W122" s="119">
        <f t="shared" si="16"/>
        <v>0</v>
      </c>
      <c r="X122" s="119">
        <f t="shared" si="17"/>
        <v>0</v>
      </c>
      <c r="Y122" s="70"/>
      <c r="Z122" s="67">
        <f>+G122*tab!F$30</f>
        <v>0</v>
      </c>
      <c r="AA122" s="67">
        <f>+H122*tab!G$30</f>
        <v>0</v>
      </c>
      <c r="AB122" s="67">
        <f>+I122*tab!H$30</f>
        <v>0</v>
      </c>
      <c r="AC122" s="67">
        <f>+J122*tab!I$30</f>
        <v>0</v>
      </c>
      <c r="AD122" s="67">
        <f>+K122*tab!J$30</f>
        <v>0</v>
      </c>
      <c r="AE122" s="70"/>
      <c r="AF122" s="562">
        <v>0</v>
      </c>
      <c r="AG122" s="119">
        <f t="shared" si="18"/>
        <v>0</v>
      </c>
      <c r="AH122" s="119">
        <f t="shared" si="19"/>
        <v>0</v>
      </c>
      <c r="AI122" s="119">
        <f t="shared" si="20"/>
        <v>0</v>
      </c>
      <c r="AJ122" s="119">
        <f t="shared" si="21"/>
        <v>0</v>
      </c>
      <c r="AK122" s="792"/>
      <c r="AL122" s="1481"/>
    </row>
    <row r="123" spans="2:38" s="112" customFormat="1" x14ac:dyDescent="0.2">
      <c r="B123" s="132"/>
      <c r="C123" s="149"/>
      <c r="D123" s="49">
        <v>109</v>
      </c>
      <c r="E123" s="978" t="str">
        <f>+'Li O school'!E123</f>
        <v>school 109</v>
      </c>
      <c r="F123" s="978" t="str">
        <f>+'Li O school'!F123</f>
        <v>11AA</v>
      </c>
      <c r="G123" s="833">
        <f>'Li O school'!I123</f>
        <v>0</v>
      </c>
      <c r="H123" s="833">
        <f>'Li O school'!J123</f>
        <v>0</v>
      </c>
      <c r="I123" s="833">
        <f>'Li O school'!K123</f>
        <v>0</v>
      </c>
      <c r="J123" s="833">
        <f>'Li O school'!L123</f>
        <v>0</v>
      </c>
      <c r="K123" s="833">
        <f>'Li O school'!M123</f>
        <v>0</v>
      </c>
      <c r="L123" s="833">
        <f>'Li O school'!N123</f>
        <v>0</v>
      </c>
      <c r="M123" s="70"/>
      <c r="N123" s="67">
        <f>ROUND(G123*tab!F$26,2)</f>
        <v>0</v>
      </c>
      <c r="O123" s="67">
        <f>ROUND(H123*tab!G$26,2)</f>
        <v>0</v>
      </c>
      <c r="P123" s="67">
        <f>ROUND(I123*tab!H$26,2)</f>
        <v>0</v>
      </c>
      <c r="Q123" s="67">
        <f>ROUND(J123*tab!I$26,2)</f>
        <v>0</v>
      </c>
      <c r="R123" s="67">
        <f>ROUND(K123*tab!J$26,2)</f>
        <v>0</v>
      </c>
      <c r="S123" s="70"/>
      <c r="T123" s="119">
        <v>0</v>
      </c>
      <c r="U123" s="119">
        <f t="shared" si="23"/>
        <v>0</v>
      </c>
      <c r="V123" s="119">
        <f t="shared" si="23"/>
        <v>0</v>
      </c>
      <c r="W123" s="119">
        <f t="shared" si="16"/>
        <v>0</v>
      </c>
      <c r="X123" s="119">
        <f t="shared" si="17"/>
        <v>0</v>
      </c>
      <c r="Y123" s="70"/>
      <c r="Z123" s="67">
        <f>+G123*tab!F$30</f>
        <v>0</v>
      </c>
      <c r="AA123" s="67">
        <f>+H123*tab!G$30</f>
        <v>0</v>
      </c>
      <c r="AB123" s="67">
        <f>+I123*tab!H$30</f>
        <v>0</v>
      </c>
      <c r="AC123" s="67">
        <f>+J123*tab!I$30</f>
        <v>0</v>
      </c>
      <c r="AD123" s="67">
        <f>+K123*tab!J$30</f>
        <v>0</v>
      </c>
      <c r="AE123" s="70"/>
      <c r="AF123" s="562">
        <v>0</v>
      </c>
      <c r="AG123" s="119">
        <f t="shared" si="18"/>
        <v>0</v>
      </c>
      <c r="AH123" s="119">
        <f t="shared" si="19"/>
        <v>0</v>
      </c>
      <c r="AI123" s="119">
        <f t="shared" si="20"/>
        <v>0</v>
      </c>
      <c r="AJ123" s="119">
        <f t="shared" si="21"/>
        <v>0</v>
      </c>
      <c r="AK123" s="792"/>
      <c r="AL123" s="1481"/>
    </row>
    <row r="124" spans="2:38" s="112" customFormat="1" x14ac:dyDescent="0.2">
      <c r="B124" s="132"/>
      <c r="C124" s="149"/>
      <c r="D124" s="49">
        <v>110</v>
      </c>
      <c r="E124" s="978" t="str">
        <f>+'Li O school'!E124</f>
        <v>school 110</v>
      </c>
      <c r="F124" s="978" t="str">
        <f>+'Li O school'!F124</f>
        <v>11AA</v>
      </c>
      <c r="G124" s="833">
        <f>'Li O school'!I124</f>
        <v>0</v>
      </c>
      <c r="H124" s="833">
        <f>'Li O school'!J124</f>
        <v>0</v>
      </c>
      <c r="I124" s="833">
        <f>'Li O school'!K124</f>
        <v>0</v>
      </c>
      <c r="J124" s="833">
        <f>'Li O school'!L124</f>
        <v>0</v>
      </c>
      <c r="K124" s="833">
        <f>'Li O school'!M124</f>
        <v>0</v>
      </c>
      <c r="L124" s="833">
        <f>'Li O school'!N124</f>
        <v>0</v>
      </c>
      <c r="M124" s="70"/>
      <c r="N124" s="67">
        <f>ROUND(G124*tab!F$26,2)</f>
        <v>0</v>
      </c>
      <c r="O124" s="67">
        <f>ROUND(H124*tab!G$26,2)</f>
        <v>0</v>
      </c>
      <c r="P124" s="67">
        <f>ROUND(I124*tab!H$26,2)</f>
        <v>0</v>
      </c>
      <c r="Q124" s="67">
        <f>ROUND(J124*tab!I$26,2)</f>
        <v>0</v>
      </c>
      <c r="R124" s="67">
        <f>ROUND(K124*tab!J$26,2)</f>
        <v>0</v>
      </c>
      <c r="S124" s="70"/>
      <c r="T124" s="119">
        <v>0</v>
      </c>
      <c r="U124" s="119">
        <f t="shared" si="23"/>
        <v>0</v>
      </c>
      <c r="V124" s="119">
        <f t="shared" si="23"/>
        <v>0</v>
      </c>
      <c r="W124" s="119">
        <f t="shared" si="16"/>
        <v>0</v>
      </c>
      <c r="X124" s="119">
        <f t="shared" si="17"/>
        <v>0</v>
      </c>
      <c r="Y124" s="70"/>
      <c r="Z124" s="67">
        <f>+G124*tab!F$30</f>
        <v>0</v>
      </c>
      <c r="AA124" s="67">
        <f>+H124*tab!G$30</f>
        <v>0</v>
      </c>
      <c r="AB124" s="67">
        <f>+I124*tab!H$30</f>
        <v>0</v>
      </c>
      <c r="AC124" s="67">
        <f>+J124*tab!I$30</f>
        <v>0</v>
      </c>
      <c r="AD124" s="67">
        <f>+K124*tab!J$30</f>
        <v>0</v>
      </c>
      <c r="AE124" s="70"/>
      <c r="AF124" s="562">
        <v>0</v>
      </c>
      <c r="AG124" s="119">
        <f t="shared" si="18"/>
        <v>0</v>
      </c>
      <c r="AH124" s="119">
        <f t="shared" si="19"/>
        <v>0</v>
      </c>
      <c r="AI124" s="119">
        <f t="shared" si="20"/>
        <v>0</v>
      </c>
      <c r="AJ124" s="119">
        <f t="shared" si="21"/>
        <v>0</v>
      </c>
      <c r="AK124" s="792"/>
      <c r="AL124" s="1481"/>
    </row>
    <row r="125" spans="2:38" s="112" customFormat="1" x14ac:dyDescent="0.2">
      <c r="B125" s="132"/>
      <c r="C125" s="149"/>
      <c r="D125" s="49">
        <v>111</v>
      </c>
      <c r="E125" s="978" t="str">
        <f>+'Li O school'!E125</f>
        <v>school 111</v>
      </c>
      <c r="F125" s="978" t="str">
        <f>+'Li O school'!F125</f>
        <v>11AA</v>
      </c>
      <c r="G125" s="833">
        <f>'Li O school'!I125</f>
        <v>0</v>
      </c>
      <c r="H125" s="833">
        <f>'Li O school'!J125</f>
        <v>0</v>
      </c>
      <c r="I125" s="833">
        <f>'Li O school'!K125</f>
        <v>0</v>
      </c>
      <c r="J125" s="833">
        <f>'Li O school'!L125</f>
        <v>0</v>
      </c>
      <c r="K125" s="833">
        <f>'Li O school'!M125</f>
        <v>0</v>
      </c>
      <c r="L125" s="833">
        <f>'Li O school'!N125</f>
        <v>0</v>
      </c>
      <c r="M125" s="70"/>
      <c r="N125" s="67">
        <f>ROUND(G125*tab!F$26,2)</f>
        <v>0</v>
      </c>
      <c r="O125" s="67">
        <f>ROUND(H125*tab!G$26,2)</f>
        <v>0</v>
      </c>
      <c r="P125" s="67">
        <f>ROUND(I125*tab!H$26,2)</f>
        <v>0</v>
      </c>
      <c r="Q125" s="67">
        <f>ROUND(J125*tab!I$26,2)</f>
        <v>0</v>
      </c>
      <c r="R125" s="67">
        <f>ROUND(K125*tab!J$26,2)</f>
        <v>0</v>
      </c>
      <c r="S125" s="70"/>
      <c r="T125" s="119">
        <v>0</v>
      </c>
      <c r="U125" s="119">
        <f t="shared" si="23"/>
        <v>0</v>
      </c>
      <c r="V125" s="119">
        <f t="shared" si="23"/>
        <v>0</v>
      </c>
      <c r="W125" s="119">
        <f t="shared" si="16"/>
        <v>0</v>
      </c>
      <c r="X125" s="119">
        <f t="shared" si="17"/>
        <v>0</v>
      </c>
      <c r="Y125" s="70"/>
      <c r="Z125" s="67">
        <f>+G125*tab!F$30</f>
        <v>0</v>
      </c>
      <c r="AA125" s="67">
        <f>+H125*tab!G$30</f>
        <v>0</v>
      </c>
      <c r="AB125" s="67">
        <f>+I125*tab!H$30</f>
        <v>0</v>
      </c>
      <c r="AC125" s="67">
        <f>+J125*tab!I$30</f>
        <v>0</v>
      </c>
      <c r="AD125" s="67">
        <f>+K125*tab!J$30</f>
        <v>0</v>
      </c>
      <c r="AE125" s="70"/>
      <c r="AF125" s="562">
        <v>0</v>
      </c>
      <c r="AG125" s="119">
        <f t="shared" si="18"/>
        <v>0</v>
      </c>
      <c r="AH125" s="119">
        <f t="shared" si="19"/>
        <v>0</v>
      </c>
      <c r="AI125" s="119">
        <f t="shared" si="20"/>
        <v>0</v>
      </c>
      <c r="AJ125" s="119">
        <f t="shared" si="21"/>
        <v>0</v>
      </c>
      <c r="AK125" s="792"/>
      <c r="AL125" s="1481"/>
    </row>
    <row r="126" spans="2:38" s="112" customFormat="1" x14ac:dyDescent="0.2">
      <c r="B126" s="132"/>
      <c r="C126" s="149"/>
      <c r="D126" s="49">
        <v>112</v>
      </c>
      <c r="E126" s="978" t="str">
        <f>+'Li O school'!E126</f>
        <v>school 112</v>
      </c>
      <c r="F126" s="978" t="str">
        <f>+'Li O school'!F126</f>
        <v>11AA</v>
      </c>
      <c r="G126" s="833">
        <f>'Li O school'!I126</f>
        <v>0</v>
      </c>
      <c r="H126" s="833">
        <f>'Li O school'!J126</f>
        <v>0</v>
      </c>
      <c r="I126" s="833">
        <f>'Li O school'!K126</f>
        <v>0</v>
      </c>
      <c r="J126" s="833">
        <f>'Li O school'!L126</f>
        <v>0</v>
      </c>
      <c r="K126" s="833">
        <f>'Li O school'!M126</f>
        <v>0</v>
      </c>
      <c r="L126" s="833">
        <f>'Li O school'!N126</f>
        <v>0</v>
      </c>
      <c r="M126" s="70"/>
      <c r="N126" s="67">
        <f>ROUND(G126*tab!F$26,2)</f>
        <v>0</v>
      </c>
      <c r="O126" s="67">
        <f>ROUND(H126*tab!G$26,2)</f>
        <v>0</v>
      </c>
      <c r="P126" s="67">
        <f>ROUND(I126*tab!H$26,2)</f>
        <v>0</v>
      </c>
      <c r="Q126" s="67">
        <f>ROUND(J126*tab!I$26,2)</f>
        <v>0</v>
      </c>
      <c r="R126" s="67">
        <f>ROUND(K126*tab!J$26,2)</f>
        <v>0</v>
      </c>
      <c r="S126" s="70"/>
      <c r="T126" s="119">
        <v>0</v>
      </c>
      <c r="U126" s="119">
        <f t="shared" si="23"/>
        <v>0</v>
      </c>
      <c r="V126" s="119">
        <f t="shared" si="23"/>
        <v>0</v>
      </c>
      <c r="W126" s="119">
        <f t="shared" si="16"/>
        <v>0</v>
      </c>
      <c r="X126" s="119">
        <f t="shared" si="17"/>
        <v>0</v>
      </c>
      <c r="Y126" s="70"/>
      <c r="Z126" s="67">
        <f>+G126*tab!F$30</f>
        <v>0</v>
      </c>
      <c r="AA126" s="67">
        <f>+H126*tab!G$30</f>
        <v>0</v>
      </c>
      <c r="AB126" s="67">
        <f>+I126*tab!H$30</f>
        <v>0</v>
      </c>
      <c r="AC126" s="67">
        <f>+J126*tab!I$30</f>
        <v>0</v>
      </c>
      <c r="AD126" s="67">
        <f>+K126*tab!J$30</f>
        <v>0</v>
      </c>
      <c r="AE126" s="70"/>
      <c r="AF126" s="562">
        <v>0</v>
      </c>
      <c r="AG126" s="119">
        <f t="shared" si="18"/>
        <v>0</v>
      </c>
      <c r="AH126" s="119">
        <f t="shared" si="19"/>
        <v>0</v>
      </c>
      <c r="AI126" s="119">
        <f t="shared" si="20"/>
        <v>0</v>
      </c>
      <c r="AJ126" s="119">
        <f t="shared" si="21"/>
        <v>0</v>
      </c>
      <c r="AK126" s="792"/>
      <c r="AL126" s="1481"/>
    </row>
    <row r="127" spans="2:38" s="112" customFormat="1" x14ac:dyDescent="0.2">
      <c r="B127" s="132"/>
      <c r="C127" s="149"/>
      <c r="D127" s="49">
        <v>113</v>
      </c>
      <c r="E127" s="978" t="str">
        <f>+'Li O school'!E127</f>
        <v>school 113</v>
      </c>
      <c r="F127" s="978" t="str">
        <f>+'Li O school'!F127</f>
        <v>11AA</v>
      </c>
      <c r="G127" s="833">
        <f>'Li O school'!I127</f>
        <v>0</v>
      </c>
      <c r="H127" s="833">
        <f>'Li O school'!J127</f>
        <v>0</v>
      </c>
      <c r="I127" s="833">
        <f>'Li O school'!K127</f>
        <v>0</v>
      </c>
      <c r="J127" s="833">
        <f>'Li O school'!L127</f>
        <v>0</v>
      </c>
      <c r="K127" s="833">
        <f>'Li O school'!M127</f>
        <v>0</v>
      </c>
      <c r="L127" s="833">
        <f>'Li O school'!N127</f>
        <v>0</v>
      </c>
      <c r="M127" s="70"/>
      <c r="N127" s="67">
        <f>ROUND(G127*tab!F$26,2)</f>
        <v>0</v>
      </c>
      <c r="O127" s="67">
        <f>ROUND(H127*tab!G$26,2)</f>
        <v>0</v>
      </c>
      <c r="P127" s="67">
        <f>ROUND(I127*tab!H$26,2)</f>
        <v>0</v>
      </c>
      <c r="Q127" s="67">
        <f>ROUND(J127*tab!I$26,2)</f>
        <v>0</v>
      </c>
      <c r="R127" s="67">
        <f>ROUND(K127*tab!J$26,2)</f>
        <v>0</v>
      </c>
      <c r="S127" s="70"/>
      <c r="T127" s="119">
        <v>0</v>
      </c>
      <c r="U127" s="119">
        <f t="shared" si="23"/>
        <v>0</v>
      </c>
      <c r="V127" s="119">
        <f t="shared" si="23"/>
        <v>0</v>
      </c>
      <c r="W127" s="119">
        <f t="shared" si="16"/>
        <v>0</v>
      </c>
      <c r="X127" s="119">
        <f t="shared" si="17"/>
        <v>0</v>
      </c>
      <c r="Y127" s="70"/>
      <c r="Z127" s="67">
        <f>+G127*tab!F$30</f>
        <v>0</v>
      </c>
      <c r="AA127" s="67">
        <f>+H127*tab!G$30</f>
        <v>0</v>
      </c>
      <c r="AB127" s="67">
        <f>+I127*tab!H$30</f>
        <v>0</v>
      </c>
      <c r="AC127" s="67">
        <f>+J127*tab!I$30</f>
        <v>0</v>
      </c>
      <c r="AD127" s="67">
        <f>+K127*tab!J$30</f>
        <v>0</v>
      </c>
      <c r="AE127" s="70"/>
      <c r="AF127" s="562">
        <v>0</v>
      </c>
      <c r="AG127" s="119">
        <f t="shared" si="18"/>
        <v>0</v>
      </c>
      <c r="AH127" s="119">
        <f t="shared" si="19"/>
        <v>0</v>
      </c>
      <c r="AI127" s="119">
        <f t="shared" si="20"/>
        <v>0</v>
      </c>
      <c r="AJ127" s="119">
        <f t="shared" si="21"/>
        <v>0</v>
      </c>
      <c r="AK127" s="792"/>
      <c r="AL127" s="1481"/>
    </row>
    <row r="128" spans="2:38" s="112" customFormat="1" x14ac:dyDescent="0.2">
      <c r="B128" s="132"/>
      <c r="C128" s="149"/>
      <c r="D128" s="49">
        <v>114</v>
      </c>
      <c r="E128" s="978" t="str">
        <f>+'Li O school'!E128</f>
        <v>school 114</v>
      </c>
      <c r="F128" s="978" t="str">
        <f>+'Li O school'!F128</f>
        <v>11AA</v>
      </c>
      <c r="G128" s="833">
        <f>'Li O school'!I128</f>
        <v>0</v>
      </c>
      <c r="H128" s="833">
        <f>'Li O school'!J128</f>
        <v>0</v>
      </c>
      <c r="I128" s="833">
        <f>'Li O school'!K128</f>
        <v>0</v>
      </c>
      <c r="J128" s="833">
        <f>'Li O school'!L128</f>
        <v>0</v>
      </c>
      <c r="K128" s="833">
        <f>'Li O school'!M128</f>
        <v>0</v>
      </c>
      <c r="L128" s="833">
        <f>'Li O school'!N128</f>
        <v>0</v>
      </c>
      <c r="M128" s="70"/>
      <c r="N128" s="67">
        <f>ROUND(G128*tab!F$26,2)</f>
        <v>0</v>
      </c>
      <c r="O128" s="67">
        <f>ROUND(H128*tab!G$26,2)</f>
        <v>0</v>
      </c>
      <c r="P128" s="67">
        <f>ROUND(I128*tab!H$26,2)</f>
        <v>0</v>
      </c>
      <c r="Q128" s="67">
        <f>ROUND(J128*tab!I$26,2)</f>
        <v>0</v>
      </c>
      <c r="R128" s="67">
        <f>ROUND(K128*tab!J$26,2)</f>
        <v>0</v>
      </c>
      <c r="S128" s="70"/>
      <c r="T128" s="119">
        <v>0</v>
      </c>
      <c r="U128" s="119">
        <f t="shared" si="23"/>
        <v>0</v>
      </c>
      <c r="V128" s="119">
        <f t="shared" si="23"/>
        <v>0</v>
      </c>
      <c r="W128" s="119">
        <f t="shared" si="16"/>
        <v>0</v>
      </c>
      <c r="X128" s="119">
        <f t="shared" si="17"/>
        <v>0</v>
      </c>
      <c r="Y128" s="70"/>
      <c r="Z128" s="67">
        <f>+G128*tab!F$30</f>
        <v>0</v>
      </c>
      <c r="AA128" s="67">
        <f>+H128*tab!G$30</f>
        <v>0</v>
      </c>
      <c r="AB128" s="67">
        <f>+I128*tab!H$30</f>
        <v>0</v>
      </c>
      <c r="AC128" s="67">
        <f>+J128*tab!I$30</f>
        <v>0</v>
      </c>
      <c r="AD128" s="67">
        <f>+K128*tab!J$30</f>
        <v>0</v>
      </c>
      <c r="AE128" s="70"/>
      <c r="AF128" s="562">
        <v>0</v>
      </c>
      <c r="AG128" s="119">
        <f t="shared" si="18"/>
        <v>0</v>
      </c>
      <c r="AH128" s="119">
        <f t="shared" si="19"/>
        <v>0</v>
      </c>
      <c r="AI128" s="119">
        <f t="shared" si="20"/>
        <v>0</v>
      </c>
      <c r="AJ128" s="119">
        <f t="shared" si="21"/>
        <v>0</v>
      </c>
      <c r="AK128" s="792"/>
      <c r="AL128" s="1481"/>
    </row>
    <row r="129" spans="2:38" s="112" customFormat="1" x14ac:dyDescent="0.2">
      <c r="B129" s="132"/>
      <c r="C129" s="149"/>
      <c r="D129" s="49">
        <v>115</v>
      </c>
      <c r="E129" s="978" t="str">
        <f>+'Li O school'!E129</f>
        <v>school 115</v>
      </c>
      <c r="F129" s="978" t="str">
        <f>+'Li O school'!F129</f>
        <v>11AA</v>
      </c>
      <c r="G129" s="833">
        <f>'Li O school'!I129</f>
        <v>0</v>
      </c>
      <c r="H129" s="833">
        <f>'Li O school'!J129</f>
        <v>0</v>
      </c>
      <c r="I129" s="833">
        <f>'Li O school'!K129</f>
        <v>0</v>
      </c>
      <c r="J129" s="833">
        <f>'Li O school'!L129</f>
        <v>0</v>
      </c>
      <c r="K129" s="833">
        <f>'Li O school'!M129</f>
        <v>0</v>
      </c>
      <c r="L129" s="833">
        <f>'Li O school'!N129</f>
        <v>0</v>
      </c>
      <c r="M129" s="70"/>
      <c r="N129" s="67">
        <f>ROUND(G129*tab!F$26,2)</f>
        <v>0</v>
      </c>
      <c r="O129" s="67">
        <f>ROUND(H129*tab!G$26,2)</f>
        <v>0</v>
      </c>
      <c r="P129" s="67">
        <f>ROUND(I129*tab!H$26,2)</f>
        <v>0</v>
      </c>
      <c r="Q129" s="67">
        <f>ROUND(J129*tab!I$26,2)</f>
        <v>0</v>
      </c>
      <c r="R129" s="67">
        <f>ROUND(K129*tab!J$26,2)</f>
        <v>0</v>
      </c>
      <c r="S129" s="70"/>
      <c r="T129" s="119">
        <v>0</v>
      </c>
      <c r="U129" s="119">
        <f t="shared" si="23"/>
        <v>0</v>
      </c>
      <c r="V129" s="119">
        <f t="shared" si="23"/>
        <v>0</v>
      </c>
      <c r="W129" s="119">
        <f t="shared" si="16"/>
        <v>0</v>
      </c>
      <c r="X129" s="119">
        <f t="shared" si="17"/>
        <v>0</v>
      </c>
      <c r="Y129" s="70"/>
      <c r="Z129" s="67">
        <f>+G129*tab!F$30</f>
        <v>0</v>
      </c>
      <c r="AA129" s="67">
        <f>+H129*tab!G$30</f>
        <v>0</v>
      </c>
      <c r="AB129" s="67">
        <f>+I129*tab!H$30</f>
        <v>0</v>
      </c>
      <c r="AC129" s="67">
        <f>+J129*tab!I$30</f>
        <v>0</v>
      </c>
      <c r="AD129" s="67">
        <f>+K129*tab!J$30</f>
        <v>0</v>
      </c>
      <c r="AE129" s="70"/>
      <c r="AF129" s="562">
        <v>0</v>
      </c>
      <c r="AG129" s="119">
        <f t="shared" si="18"/>
        <v>0</v>
      </c>
      <c r="AH129" s="119">
        <f t="shared" si="19"/>
        <v>0</v>
      </c>
      <c r="AI129" s="119">
        <f t="shared" si="20"/>
        <v>0</v>
      </c>
      <c r="AJ129" s="119">
        <f t="shared" si="21"/>
        <v>0</v>
      </c>
      <c r="AK129" s="792"/>
      <c r="AL129" s="1481"/>
    </row>
    <row r="130" spans="2:38" s="112" customFormat="1" x14ac:dyDescent="0.2">
      <c r="B130" s="132"/>
      <c r="C130" s="149"/>
      <c r="D130" s="49">
        <v>116</v>
      </c>
      <c r="E130" s="978" t="str">
        <f>+'Li O school'!E130</f>
        <v>school 116</v>
      </c>
      <c r="F130" s="978" t="str">
        <f>+'Li O school'!F130</f>
        <v>11AA</v>
      </c>
      <c r="G130" s="833">
        <f>'Li O school'!I130</f>
        <v>0</v>
      </c>
      <c r="H130" s="833">
        <f>'Li O school'!J130</f>
        <v>0</v>
      </c>
      <c r="I130" s="833">
        <f>'Li O school'!K130</f>
        <v>0</v>
      </c>
      <c r="J130" s="833">
        <f>'Li O school'!L130</f>
        <v>0</v>
      </c>
      <c r="K130" s="833">
        <f>'Li O school'!M130</f>
        <v>0</v>
      </c>
      <c r="L130" s="833">
        <f>'Li O school'!N130</f>
        <v>0</v>
      </c>
      <c r="M130" s="70"/>
      <c r="N130" s="67">
        <f>ROUND(G130*tab!F$26,2)</f>
        <v>0</v>
      </c>
      <c r="O130" s="67">
        <f>ROUND(H130*tab!G$26,2)</f>
        <v>0</v>
      </c>
      <c r="P130" s="67">
        <f>ROUND(I130*tab!H$26,2)</f>
        <v>0</v>
      </c>
      <c r="Q130" s="67">
        <f>ROUND(J130*tab!I$26,2)</f>
        <v>0</v>
      </c>
      <c r="R130" s="67">
        <f>ROUND(K130*tab!J$26,2)</f>
        <v>0</v>
      </c>
      <c r="S130" s="70"/>
      <c r="T130" s="119">
        <v>0</v>
      </c>
      <c r="U130" s="119">
        <f t="shared" si="23"/>
        <v>0</v>
      </c>
      <c r="V130" s="119">
        <f t="shared" si="23"/>
        <v>0</v>
      </c>
      <c r="W130" s="119">
        <f t="shared" si="16"/>
        <v>0</v>
      </c>
      <c r="X130" s="119">
        <f t="shared" si="17"/>
        <v>0</v>
      </c>
      <c r="Y130" s="70"/>
      <c r="Z130" s="67">
        <f>+G130*tab!F$30</f>
        <v>0</v>
      </c>
      <c r="AA130" s="67">
        <f>+H130*tab!G$30</f>
        <v>0</v>
      </c>
      <c r="AB130" s="67">
        <f>+I130*tab!H$30</f>
        <v>0</v>
      </c>
      <c r="AC130" s="67">
        <f>+J130*tab!I$30</f>
        <v>0</v>
      </c>
      <c r="AD130" s="67">
        <f>+K130*tab!J$30</f>
        <v>0</v>
      </c>
      <c r="AE130" s="70"/>
      <c r="AF130" s="562">
        <v>0</v>
      </c>
      <c r="AG130" s="119">
        <f t="shared" si="18"/>
        <v>0</v>
      </c>
      <c r="AH130" s="119">
        <f t="shared" si="19"/>
        <v>0</v>
      </c>
      <c r="AI130" s="119">
        <f t="shared" si="20"/>
        <v>0</v>
      </c>
      <c r="AJ130" s="119">
        <f t="shared" si="21"/>
        <v>0</v>
      </c>
      <c r="AK130" s="792"/>
      <c r="AL130" s="1481"/>
    </row>
    <row r="131" spans="2:38" s="112" customFormat="1" x14ac:dyDescent="0.2">
      <c r="B131" s="132"/>
      <c r="C131" s="149"/>
      <c r="D131" s="49">
        <v>117</v>
      </c>
      <c r="E131" s="978" t="str">
        <f>+'Li O school'!E131</f>
        <v>school 117</v>
      </c>
      <c r="F131" s="978" t="str">
        <f>+'Li O school'!F131</f>
        <v>11AA</v>
      </c>
      <c r="G131" s="833">
        <f>'Li O school'!I131</f>
        <v>0</v>
      </c>
      <c r="H131" s="833">
        <f>'Li O school'!J131</f>
        <v>0</v>
      </c>
      <c r="I131" s="833">
        <f>'Li O school'!K131</f>
        <v>0</v>
      </c>
      <c r="J131" s="833">
        <f>'Li O school'!L131</f>
        <v>0</v>
      </c>
      <c r="K131" s="833">
        <f>'Li O school'!M131</f>
        <v>0</v>
      </c>
      <c r="L131" s="833">
        <f>'Li O school'!N131</f>
        <v>0</v>
      </c>
      <c r="M131" s="70"/>
      <c r="N131" s="67">
        <f>ROUND(G131*tab!F$26,2)</f>
        <v>0</v>
      </c>
      <c r="O131" s="67">
        <f>ROUND(H131*tab!G$26,2)</f>
        <v>0</v>
      </c>
      <c r="P131" s="67">
        <f>ROUND(I131*tab!H$26,2)</f>
        <v>0</v>
      </c>
      <c r="Q131" s="67">
        <f>ROUND(J131*tab!I$26,2)</f>
        <v>0</v>
      </c>
      <c r="R131" s="67">
        <f>ROUND(K131*tab!J$26,2)</f>
        <v>0</v>
      </c>
      <c r="S131" s="70"/>
      <c r="T131" s="119">
        <v>0</v>
      </c>
      <c r="U131" s="119">
        <f t="shared" si="23"/>
        <v>0</v>
      </c>
      <c r="V131" s="119">
        <f t="shared" si="23"/>
        <v>0</v>
      </c>
      <c r="W131" s="119">
        <f t="shared" si="16"/>
        <v>0</v>
      </c>
      <c r="X131" s="119">
        <f t="shared" si="17"/>
        <v>0</v>
      </c>
      <c r="Y131" s="70"/>
      <c r="Z131" s="67">
        <f>+G131*tab!F$30</f>
        <v>0</v>
      </c>
      <c r="AA131" s="67">
        <f>+H131*tab!G$30</f>
        <v>0</v>
      </c>
      <c r="AB131" s="67">
        <f>+I131*tab!H$30</f>
        <v>0</v>
      </c>
      <c r="AC131" s="67">
        <f>+J131*tab!I$30</f>
        <v>0</v>
      </c>
      <c r="AD131" s="67">
        <f>+K131*tab!J$30</f>
        <v>0</v>
      </c>
      <c r="AE131" s="70"/>
      <c r="AF131" s="562">
        <v>0</v>
      </c>
      <c r="AG131" s="119">
        <f t="shared" si="18"/>
        <v>0</v>
      </c>
      <c r="AH131" s="119">
        <f t="shared" si="19"/>
        <v>0</v>
      </c>
      <c r="AI131" s="119">
        <f t="shared" si="20"/>
        <v>0</v>
      </c>
      <c r="AJ131" s="119">
        <f t="shared" si="21"/>
        <v>0</v>
      </c>
      <c r="AK131" s="792"/>
      <c r="AL131" s="1481"/>
    </row>
    <row r="132" spans="2:38" s="112" customFormat="1" x14ac:dyDescent="0.2">
      <c r="B132" s="132"/>
      <c r="C132" s="149"/>
      <c r="D132" s="49">
        <v>118</v>
      </c>
      <c r="E132" s="978" t="str">
        <f>+'Li O school'!E132</f>
        <v>school 118</v>
      </c>
      <c r="F132" s="978" t="str">
        <f>+'Li O school'!F132</f>
        <v>11AA</v>
      </c>
      <c r="G132" s="833">
        <f>'Li O school'!I132</f>
        <v>0</v>
      </c>
      <c r="H132" s="833">
        <f>'Li O school'!J132</f>
        <v>0</v>
      </c>
      <c r="I132" s="833">
        <f>'Li O school'!K132</f>
        <v>0</v>
      </c>
      <c r="J132" s="833">
        <f>'Li O school'!L132</f>
        <v>0</v>
      </c>
      <c r="K132" s="833">
        <f>'Li O school'!M132</f>
        <v>0</v>
      </c>
      <c r="L132" s="833">
        <f>'Li O school'!N132</f>
        <v>0</v>
      </c>
      <c r="M132" s="70"/>
      <c r="N132" s="67">
        <f>ROUND(G132*tab!F$26,2)</f>
        <v>0</v>
      </c>
      <c r="O132" s="67">
        <f>ROUND(H132*tab!G$26,2)</f>
        <v>0</v>
      </c>
      <c r="P132" s="67">
        <f>ROUND(I132*tab!H$26,2)</f>
        <v>0</v>
      </c>
      <c r="Q132" s="67">
        <f>ROUND(J132*tab!I$26,2)</f>
        <v>0</v>
      </c>
      <c r="R132" s="67">
        <f>ROUND(K132*tab!J$26,2)</f>
        <v>0</v>
      </c>
      <c r="S132" s="70"/>
      <c r="T132" s="119">
        <v>0</v>
      </c>
      <c r="U132" s="119">
        <f t="shared" si="23"/>
        <v>0</v>
      </c>
      <c r="V132" s="119">
        <f t="shared" si="23"/>
        <v>0</v>
      </c>
      <c r="W132" s="119">
        <f t="shared" si="16"/>
        <v>0</v>
      </c>
      <c r="X132" s="119">
        <f t="shared" si="17"/>
        <v>0</v>
      </c>
      <c r="Y132" s="70"/>
      <c r="Z132" s="67">
        <f>+G132*tab!F$30</f>
        <v>0</v>
      </c>
      <c r="AA132" s="67">
        <f>+H132*tab!G$30</f>
        <v>0</v>
      </c>
      <c r="AB132" s="67">
        <f>+I132*tab!H$30</f>
        <v>0</v>
      </c>
      <c r="AC132" s="67">
        <f>+J132*tab!I$30</f>
        <v>0</v>
      </c>
      <c r="AD132" s="67">
        <f>+K132*tab!J$30</f>
        <v>0</v>
      </c>
      <c r="AE132" s="70"/>
      <c r="AF132" s="562">
        <v>0</v>
      </c>
      <c r="AG132" s="119">
        <f t="shared" si="18"/>
        <v>0</v>
      </c>
      <c r="AH132" s="119">
        <f t="shared" si="19"/>
        <v>0</v>
      </c>
      <c r="AI132" s="119">
        <f t="shared" si="20"/>
        <v>0</v>
      </c>
      <c r="AJ132" s="119">
        <f t="shared" si="21"/>
        <v>0</v>
      </c>
      <c r="AK132" s="792"/>
      <c r="AL132" s="1481"/>
    </row>
    <row r="133" spans="2:38" s="112" customFormat="1" x14ac:dyDescent="0.2">
      <c r="B133" s="132"/>
      <c r="C133" s="149"/>
      <c r="D133" s="49">
        <v>119</v>
      </c>
      <c r="E133" s="978" t="str">
        <f>+'Li O school'!E133</f>
        <v>school 119</v>
      </c>
      <c r="F133" s="978" t="str">
        <f>+'Li O school'!F133</f>
        <v>11AA</v>
      </c>
      <c r="G133" s="833">
        <f>'Li O school'!I133</f>
        <v>0</v>
      </c>
      <c r="H133" s="833">
        <f>'Li O school'!J133</f>
        <v>0</v>
      </c>
      <c r="I133" s="833">
        <f>'Li O school'!K133</f>
        <v>0</v>
      </c>
      <c r="J133" s="833">
        <f>'Li O school'!L133</f>
        <v>0</v>
      </c>
      <c r="K133" s="833">
        <f>'Li O school'!M133</f>
        <v>0</v>
      </c>
      <c r="L133" s="833">
        <f>'Li O school'!N133</f>
        <v>0</v>
      </c>
      <c r="M133" s="70"/>
      <c r="N133" s="67">
        <f>ROUND(G133*tab!F$26,2)</f>
        <v>0</v>
      </c>
      <c r="O133" s="67">
        <f>ROUND(H133*tab!G$26,2)</f>
        <v>0</v>
      </c>
      <c r="P133" s="67">
        <f>ROUND(I133*tab!H$26,2)</f>
        <v>0</v>
      </c>
      <c r="Q133" s="67">
        <f>ROUND(J133*tab!I$26,2)</f>
        <v>0</v>
      </c>
      <c r="R133" s="67">
        <f>ROUND(K133*tab!J$26,2)</f>
        <v>0</v>
      </c>
      <c r="S133" s="70"/>
      <c r="T133" s="119">
        <v>0</v>
      </c>
      <c r="U133" s="119">
        <f t="shared" si="23"/>
        <v>0</v>
      </c>
      <c r="V133" s="119">
        <f t="shared" si="23"/>
        <v>0</v>
      </c>
      <c r="W133" s="119">
        <f t="shared" si="16"/>
        <v>0</v>
      </c>
      <c r="X133" s="119">
        <f t="shared" si="17"/>
        <v>0</v>
      </c>
      <c r="Y133" s="70"/>
      <c r="Z133" s="67">
        <f>+G133*tab!F$30</f>
        <v>0</v>
      </c>
      <c r="AA133" s="67">
        <f>+H133*tab!G$30</f>
        <v>0</v>
      </c>
      <c r="AB133" s="67">
        <f>+I133*tab!H$30</f>
        <v>0</v>
      </c>
      <c r="AC133" s="67">
        <f>+J133*tab!I$30</f>
        <v>0</v>
      </c>
      <c r="AD133" s="67">
        <f>+K133*tab!J$30</f>
        <v>0</v>
      </c>
      <c r="AE133" s="70"/>
      <c r="AF133" s="562">
        <v>0</v>
      </c>
      <c r="AG133" s="119">
        <f t="shared" si="18"/>
        <v>0</v>
      </c>
      <c r="AH133" s="119">
        <f t="shared" si="19"/>
        <v>0</v>
      </c>
      <c r="AI133" s="119">
        <f t="shared" si="20"/>
        <v>0</v>
      </c>
      <c r="AJ133" s="119">
        <f t="shared" si="21"/>
        <v>0</v>
      </c>
      <c r="AK133" s="792"/>
      <c r="AL133" s="1481"/>
    </row>
    <row r="134" spans="2:38" s="112" customFormat="1" x14ac:dyDescent="0.2">
      <c r="B134" s="132"/>
      <c r="C134" s="149"/>
      <c r="D134" s="49">
        <v>120</v>
      </c>
      <c r="E134" s="978" t="str">
        <f>+'Li O school'!E134</f>
        <v>school 120</v>
      </c>
      <c r="F134" s="978" t="str">
        <f>+'Li O school'!F134</f>
        <v>11AA</v>
      </c>
      <c r="G134" s="833">
        <f>'Li O school'!I134</f>
        <v>0</v>
      </c>
      <c r="H134" s="833">
        <f>'Li O school'!J134</f>
        <v>0</v>
      </c>
      <c r="I134" s="833">
        <f>'Li O school'!K134</f>
        <v>0</v>
      </c>
      <c r="J134" s="833">
        <f>'Li O school'!L134</f>
        <v>0</v>
      </c>
      <c r="K134" s="833">
        <f>'Li O school'!M134</f>
        <v>0</v>
      </c>
      <c r="L134" s="833">
        <f>'Li O school'!N134</f>
        <v>0</v>
      </c>
      <c r="M134" s="70"/>
      <c r="N134" s="67">
        <f>ROUND(G134*tab!F$26,2)</f>
        <v>0</v>
      </c>
      <c r="O134" s="67">
        <f>ROUND(H134*tab!G$26,2)</f>
        <v>0</v>
      </c>
      <c r="P134" s="67">
        <f>ROUND(I134*tab!H$26,2)</f>
        <v>0</v>
      </c>
      <c r="Q134" s="67">
        <f>ROUND(J134*tab!I$26,2)</f>
        <v>0</v>
      </c>
      <c r="R134" s="67">
        <f>ROUND(K134*tab!J$26,2)</f>
        <v>0</v>
      </c>
      <c r="S134" s="70"/>
      <c r="T134" s="119">
        <v>0</v>
      </c>
      <c r="U134" s="119">
        <f t="shared" si="23"/>
        <v>0</v>
      </c>
      <c r="V134" s="119">
        <f t="shared" si="23"/>
        <v>0</v>
      </c>
      <c r="W134" s="119">
        <f t="shared" si="16"/>
        <v>0</v>
      </c>
      <c r="X134" s="119">
        <f t="shared" si="17"/>
        <v>0</v>
      </c>
      <c r="Y134" s="70"/>
      <c r="Z134" s="67">
        <f>+G134*tab!F$30</f>
        <v>0</v>
      </c>
      <c r="AA134" s="67">
        <f>+H134*tab!G$30</f>
        <v>0</v>
      </c>
      <c r="AB134" s="67">
        <f>+I134*tab!H$30</f>
        <v>0</v>
      </c>
      <c r="AC134" s="67">
        <f>+J134*tab!I$30</f>
        <v>0</v>
      </c>
      <c r="AD134" s="67">
        <f>+K134*tab!J$30</f>
        <v>0</v>
      </c>
      <c r="AE134" s="70"/>
      <c r="AF134" s="562">
        <v>0</v>
      </c>
      <c r="AG134" s="119">
        <f t="shared" si="18"/>
        <v>0</v>
      </c>
      <c r="AH134" s="119">
        <f t="shared" si="19"/>
        <v>0</v>
      </c>
      <c r="AI134" s="119">
        <f t="shared" si="20"/>
        <v>0</v>
      </c>
      <c r="AJ134" s="119">
        <f t="shared" si="21"/>
        <v>0</v>
      </c>
      <c r="AK134" s="792"/>
      <c r="AL134" s="1481"/>
    </row>
    <row r="135" spans="2:38" s="112" customFormat="1" x14ac:dyDescent="0.2">
      <c r="B135" s="132"/>
      <c r="C135" s="149"/>
      <c r="D135" s="49">
        <v>121</v>
      </c>
      <c r="E135" s="978" t="str">
        <f>+'Li O school'!E135</f>
        <v>school 121</v>
      </c>
      <c r="F135" s="978" t="str">
        <f>+'Li O school'!F135</f>
        <v>11AA</v>
      </c>
      <c r="G135" s="833">
        <f>'Li O school'!I135</f>
        <v>0</v>
      </c>
      <c r="H135" s="833">
        <f>'Li O school'!J135</f>
        <v>0</v>
      </c>
      <c r="I135" s="833">
        <f>'Li O school'!K135</f>
        <v>0</v>
      </c>
      <c r="J135" s="833">
        <f>'Li O school'!L135</f>
        <v>0</v>
      </c>
      <c r="K135" s="833">
        <f>'Li O school'!M135</f>
        <v>0</v>
      </c>
      <c r="L135" s="833">
        <f>'Li O school'!N135</f>
        <v>0</v>
      </c>
      <c r="M135" s="70"/>
      <c r="N135" s="67">
        <f>ROUND(G135*tab!F$26,2)</f>
        <v>0</v>
      </c>
      <c r="O135" s="67">
        <f>ROUND(H135*tab!G$26,2)</f>
        <v>0</v>
      </c>
      <c r="P135" s="67">
        <f>ROUND(I135*tab!H$26,2)</f>
        <v>0</v>
      </c>
      <c r="Q135" s="67">
        <f>ROUND(J135*tab!I$26,2)</f>
        <v>0</v>
      </c>
      <c r="R135" s="67">
        <f>ROUND(K135*tab!J$26,2)</f>
        <v>0</v>
      </c>
      <c r="S135" s="70"/>
      <c r="T135" s="119">
        <v>0</v>
      </c>
      <c r="U135" s="119">
        <f t="shared" ref="U135:V139" si="24">T135</f>
        <v>0</v>
      </c>
      <c r="V135" s="119">
        <f t="shared" si="24"/>
        <v>0</v>
      </c>
      <c r="W135" s="119">
        <f t="shared" si="16"/>
        <v>0</v>
      </c>
      <c r="X135" s="119">
        <f t="shared" si="17"/>
        <v>0</v>
      </c>
      <c r="Y135" s="70"/>
      <c r="Z135" s="67">
        <f>+G135*tab!F$30</f>
        <v>0</v>
      </c>
      <c r="AA135" s="67">
        <f>+H135*tab!G$30</f>
        <v>0</v>
      </c>
      <c r="AB135" s="67">
        <f>+I135*tab!H$30</f>
        <v>0</v>
      </c>
      <c r="AC135" s="67">
        <f>+J135*tab!I$30</f>
        <v>0</v>
      </c>
      <c r="AD135" s="67">
        <f>+K135*tab!J$30</f>
        <v>0</v>
      </c>
      <c r="AE135" s="70"/>
      <c r="AF135" s="562">
        <v>0</v>
      </c>
      <c r="AG135" s="119">
        <f t="shared" si="18"/>
        <v>0</v>
      </c>
      <c r="AH135" s="119">
        <f t="shared" si="19"/>
        <v>0</v>
      </c>
      <c r="AI135" s="119">
        <f t="shared" si="20"/>
        <v>0</v>
      </c>
      <c r="AJ135" s="119">
        <f t="shared" si="21"/>
        <v>0</v>
      </c>
      <c r="AK135" s="792"/>
      <c r="AL135" s="1481"/>
    </row>
    <row r="136" spans="2:38" s="112" customFormat="1" x14ac:dyDescent="0.2">
      <c r="B136" s="132"/>
      <c r="C136" s="149"/>
      <c r="D136" s="49">
        <v>122</v>
      </c>
      <c r="E136" s="978" t="str">
        <f>+'Li O school'!E136</f>
        <v>school 122</v>
      </c>
      <c r="F136" s="978" t="str">
        <f>+'Li O school'!F136</f>
        <v>11AA</v>
      </c>
      <c r="G136" s="833">
        <f>'Li O school'!I136</f>
        <v>0</v>
      </c>
      <c r="H136" s="833">
        <f>'Li O school'!J136</f>
        <v>0</v>
      </c>
      <c r="I136" s="833">
        <f>'Li O school'!K136</f>
        <v>0</v>
      </c>
      <c r="J136" s="833">
        <f>'Li O school'!L136</f>
        <v>0</v>
      </c>
      <c r="K136" s="833">
        <f>'Li O school'!M136</f>
        <v>0</v>
      </c>
      <c r="L136" s="833">
        <f>'Li O school'!N136</f>
        <v>0</v>
      </c>
      <c r="M136" s="70"/>
      <c r="N136" s="67">
        <f>ROUND(G136*tab!F$26,2)</f>
        <v>0</v>
      </c>
      <c r="O136" s="67">
        <f>ROUND(H136*tab!G$26,2)</f>
        <v>0</v>
      </c>
      <c r="P136" s="67">
        <f>ROUND(I136*tab!H$26,2)</f>
        <v>0</v>
      </c>
      <c r="Q136" s="67">
        <f>ROUND(J136*tab!I$26,2)</f>
        <v>0</v>
      </c>
      <c r="R136" s="67">
        <f>ROUND(K136*tab!J$26,2)</f>
        <v>0</v>
      </c>
      <c r="S136" s="70"/>
      <c r="T136" s="119">
        <v>0</v>
      </c>
      <c r="U136" s="119">
        <f t="shared" si="24"/>
        <v>0</v>
      </c>
      <c r="V136" s="119">
        <f t="shared" si="24"/>
        <v>0</v>
      </c>
      <c r="W136" s="119">
        <f t="shared" si="16"/>
        <v>0</v>
      </c>
      <c r="X136" s="119">
        <f t="shared" si="17"/>
        <v>0</v>
      </c>
      <c r="Y136" s="70"/>
      <c r="Z136" s="67">
        <f>+G136*tab!F$30</f>
        <v>0</v>
      </c>
      <c r="AA136" s="67">
        <f>+H136*tab!G$30</f>
        <v>0</v>
      </c>
      <c r="AB136" s="67">
        <f>+I136*tab!H$30</f>
        <v>0</v>
      </c>
      <c r="AC136" s="67">
        <f>+J136*tab!I$30</f>
        <v>0</v>
      </c>
      <c r="AD136" s="67">
        <f>+K136*tab!J$30</f>
        <v>0</v>
      </c>
      <c r="AE136" s="70"/>
      <c r="AF136" s="562">
        <v>0</v>
      </c>
      <c r="AG136" s="119">
        <f t="shared" si="18"/>
        <v>0</v>
      </c>
      <c r="AH136" s="119">
        <f t="shared" si="19"/>
        <v>0</v>
      </c>
      <c r="AI136" s="119">
        <f t="shared" si="20"/>
        <v>0</v>
      </c>
      <c r="AJ136" s="119">
        <f t="shared" si="21"/>
        <v>0</v>
      </c>
      <c r="AK136" s="792"/>
      <c r="AL136" s="1481"/>
    </row>
    <row r="137" spans="2:38" s="112" customFormat="1" x14ac:dyDescent="0.2">
      <c r="B137" s="132"/>
      <c r="C137" s="149"/>
      <c r="D137" s="49">
        <v>123</v>
      </c>
      <c r="E137" s="978" t="str">
        <f>+'Li O school'!E137</f>
        <v>school 123</v>
      </c>
      <c r="F137" s="978" t="str">
        <f>+'Li O school'!F137</f>
        <v>11AA</v>
      </c>
      <c r="G137" s="833">
        <f>'Li O school'!I137</f>
        <v>0</v>
      </c>
      <c r="H137" s="833">
        <f>'Li O school'!J137</f>
        <v>0</v>
      </c>
      <c r="I137" s="833">
        <f>'Li O school'!K137</f>
        <v>0</v>
      </c>
      <c r="J137" s="833">
        <f>'Li O school'!L137</f>
        <v>0</v>
      </c>
      <c r="K137" s="833">
        <f>'Li O school'!M137</f>
        <v>0</v>
      </c>
      <c r="L137" s="833">
        <f>'Li O school'!N137</f>
        <v>0</v>
      </c>
      <c r="M137" s="70"/>
      <c r="N137" s="67">
        <f>ROUND(G137*tab!F$26,2)</f>
        <v>0</v>
      </c>
      <c r="O137" s="67">
        <f>ROUND(H137*tab!G$26,2)</f>
        <v>0</v>
      </c>
      <c r="P137" s="67">
        <f>ROUND(I137*tab!H$26,2)</f>
        <v>0</v>
      </c>
      <c r="Q137" s="67">
        <f>ROUND(J137*tab!I$26,2)</f>
        <v>0</v>
      </c>
      <c r="R137" s="67">
        <f>ROUND(K137*tab!J$26,2)</f>
        <v>0</v>
      </c>
      <c r="S137" s="70"/>
      <c r="T137" s="119">
        <v>0</v>
      </c>
      <c r="U137" s="119">
        <f t="shared" si="24"/>
        <v>0</v>
      </c>
      <c r="V137" s="119">
        <f t="shared" si="24"/>
        <v>0</v>
      </c>
      <c r="W137" s="119">
        <f t="shared" si="16"/>
        <v>0</v>
      </c>
      <c r="X137" s="119">
        <f t="shared" si="17"/>
        <v>0</v>
      </c>
      <c r="Y137" s="70"/>
      <c r="Z137" s="67">
        <f>+G137*tab!F$30</f>
        <v>0</v>
      </c>
      <c r="AA137" s="67">
        <f>+H137*tab!G$30</f>
        <v>0</v>
      </c>
      <c r="AB137" s="67">
        <f>+I137*tab!H$30</f>
        <v>0</v>
      </c>
      <c r="AC137" s="67">
        <f>+J137*tab!I$30</f>
        <v>0</v>
      </c>
      <c r="AD137" s="67">
        <f>+K137*tab!J$30</f>
        <v>0</v>
      </c>
      <c r="AE137" s="70"/>
      <c r="AF137" s="562">
        <v>0</v>
      </c>
      <c r="AG137" s="119">
        <f t="shared" si="18"/>
        <v>0</v>
      </c>
      <c r="AH137" s="119">
        <f t="shared" si="19"/>
        <v>0</v>
      </c>
      <c r="AI137" s="119">
        <f t="shared" si="20"/>
        <v>0</v>
      </c>
      <c r="AJ137" s="119">
        <f t="shared" si="21"/>
        <v>0</v>
      </c>
      <c r="AK137" s="792"/>
      <c r="AL137" s="1481"/>
    </row>
    <row r="138" spans="2:38" s="112" customFormat="1" x14ac:dyDescent="0.2">
      <c r="B138" s="132"/>
      <c r="C138" s="149"/>
      <c r="D138" s="49">
        <v>124</v>
      </c>
      <c r="E138" s="978" t="str">
        <f>+'Li O school'!E138</f>
        <v>school 124</v>
      </c>
      <c r="F138" s="978" t="str">
        <f>+'Li O school'!F138</f>
        <v>11AA</v>
      </c>
      <c r="G138" s="833">
        <f>'Li O school'!I138</f>
        <v>0</v>
      </c>
      <c r="H138" s="833">
        <f>'Li O school'!J138</f>
        <v>0</v>
      </c>
      <c r="I138" s="833">
        <f>'Li O school'!K138</f>
        <v>0</v>
      </c>
      <c r="J138" s="833">
        <f>'Li O school'!L138</f>
        <v>0</v>
      </c>
      <c r="K138" s="833">
        <f>'Li O school'!M138</f>
        <v>0</v>
      </c>
      <c r="L138" s="833">
        <f>'Li O school'!N138</f>
        <v>0</v>
      </c>
      <c r="M138" s="70"/>
      <c r="N138" s="67">
        <f>ROUND(G138*tab!F$26,2)</f>
        <v>0</v>
      </c>
      <c r="O138" s="67">
        <f>ROUND(H138*tab!G$26,2)</f>
        <v>0</v>
      </c>
      <c r="P138" s="67">
        <f>ROUND(I138*tab!H$26,2)</f>
        <v>0</v>
      </c>
      <c r="Q138" s="67">
        <f>ROUND(J138*tab!I$26,2)</f>
        <v>0</v>
      </c>
      <c r="R138" s="67">
        <f>ROUND(K138*tab!J$26,2)</f>
        <v>0</v>
      </c>
      <c r="S138" s="70"/>
      <c r="T138" s="119">
        <v>0</v>
      </c>
      <c r="U138" s="119">
        <f t="shared" si="24"/>
        <v>0</v>
      </c>
      <c r="V138" s="119">
        <f t="shared" si="24"/>
        <v>0</v>
      </c>
      <c r="W138" s="119">
        <f t="shared" si="16"/>
        <v>0</v>
      </c>
      <c r="X138" s="119">
        <f t="shared" si="17"/>
        <v>0</v>
      </c>
      <c r="Y138" s="70"/>
      <c r="Z138" s="67">
        <f>+G138*tab!F$30</f>
        <v>0</v>
      </c>
      <c r="AA138" s="67">
        <f>+H138*tab!G$30</f>
        <v>0</v>
      </c>
      <c r="AB138" s="67">
        <f>+I138*tab!H$30</f>
        <v>0</v>
      </c>
      <c r="AC138" s="67">
        <f>+J138*tab!I$30</f>
        <v>0</v>
      </c>
      <c r="AD138" s="67">
        <f>+K138*tab!J$30</f>
        <v>0</v>
      </c>
      <c r="AE138" s="70"/>
      <c r="AF138" s="562">
        <v>0</v>
      </c>
      <c r="AG138" s="119">
        <f t="shared" si="18"/>
        <v>0</v>
      </c>
      <c r="AH138" s="119">
        <f t="shared" si="19"/>
        <v>0</v>
      </c>
      <c r="AI138" s="119">
        <f t="shared" si="20"/>
        <v>0</v>
      </c>
      <c r="AJ138" s="119">
        <f t="shared" si="21"/>
        <v>0</v>
      </c>
      <c r="AK138" s="792"/>
      <c r="AL138" s="1481"/>
    </row>
    <row r="139" spans="2:38" s="112" customFormat="1" x14ac:dyDescent="0.2">
      <c r="B139" s="132"/>
      <c r="C139" s="149"/>
      <c r="D139" s="49">
        <v>125</v>
      </c>
      <c r="E139" s="978" t="str">
        <f>+'Li O school'!E139</f>
        <v>school 125</v>
      </c>
      <c r="F139" s="978" t="str">
        <f>+'Li O school'!F139</f>
        <v>11AA</v>
      </c>
      <c r="G139" s="833">
        <f>'Li O school'!I139</f>
        <v>0</v>
      </c>
      <c r="H139" s="833">
        <f>'Li O school'!J139</f>
        <v>0</v>
      </c>
      <c r="I139" s="833">
        <f>'Li O school'!K139</f>
        <v>0</v>
      </c>
      <c r="J139" s="833">
        <f>'Li O school'!L139</f>
        <v>0</v>
      </c>
      <c r="K139" s="833">
        <f>'Li O school'!M139</f>
        <v>0</v>
      </c>
      <c r="L139" s="833">
        <f>'Li O school'!N139</f>
        <v>0</v>
      </c>
      <c r="M139" s="70"/>
      <c r="N139" s="67">
        <f>ROUND(G139*tab!F$26,2)</f>
        <v>0</v>
      </c>
      <c r="O139" s="67">
        <f>ROUND(H139*tab!G$26,2)</f>
        <v>0</v>
      </c>
      <c r="P139" s="67">
        <f>ROUND(I139*tab!H$26,2)</f>
        <v>0</v>
      </c>
      <c r="Q139" s="67">
        <f>ROUND(J139*tab!I$26,2)</f>
        <v>0</v>
      </c>
      <c r="R139" s="67">
        <f>ROUND(K139*tab!J$26,2)</f>
        <v>0</v>
      </c>
      <c r="S139" s="70"/>
      <c r="T139" s="119">
        <v>0</v>
      </c>
      <c r="U139" s="119">
        <f t="shared" si="24"/>
        <v>0</v>
      </c>
      <c r="V139" s="119">
        <f t="shared" si="24"/>
        <v>0</v>
      </c>
      <c r="W139" s="119">
        <f t="shared" si="16"/>
        <v>0</v>
      </c>
      <c r="X139" s="119">
        <f t="shared" si="17"/>
        <v>0</v>
      </c>
      <c r="Y139" s="70"/>
      <c r="Z139" s="67">
        <f>+G139*tab!F$30</f>
        <v>0</v>
      </c>
      <c r="AA139" s="67">
        <f>+H139*tab!G$30</f>
        <v>0</v>
      </c>
      <c r="AB139" s="67">
        <f>+I139*tab!H$30</f>
        <v>0</v>
      </c>
      <c r="AC139" s="67">
        <f>+J139*tab!I$30</f>
        <v>0</v>
      </c>
      <c r="AD139" s="67">
        <f>+K139*tab!J$30</f>
        <v>0</v>
      </c>
      <c r="AE139" s="70"/>
      <c r="AF139" s="562">
        <v>0</v>
      </c>
      <c r="AG139" s="119">
        <f t="shared" si="18"/>
        <v>0</v>
      </c>
      <c r="AH139" s="119">
        <f t="shared" si="19"/>
        <v>0</v>
      </c>
      <c r="AI139" s="119">
        <f t="shared" si="20"/>
        <v>0</v>
      </c>
      <c r="AJ139" s="119">
        <f t="shared" si="21"/>
        <v>0</v>
      </c>
      <c r="AK139" s="792"/>
      <c r="AL139" s="1481"/>
    </row>
    <row r="140" spans="2:38" x14ac:dyDescent="0.2">
      <c r="B140" s="75"/>
      <c r="Q140" s="109"/>
      <c r="S140" s="112"/>
      <c r="W140" s="109"/>
      <c r="X140" s="109"/>
      <c r="Y140" s="112"/>
      <c r="AC140" s="109"/>
      <c r="AD140" s="109"/>
      <c r="AE140" s="112"/>
      <c r="AK140" s="682"/>
      <c r="AL140" s="816"/>
    </row>
    <row r="141" spans="2:38" x14ac:dyDescent="0.2">
      <c r="B141" s="75"/>
      <c r="D141" s="114" t="s">
        <v>373</v>
      </c>
      <c r="G141" s="45">
        <f t="shared" ref="G141:K141" si="25">SUM(G15:G139)</f>
        <v>0</v>
      </c>
      <c r="H141" s="45">
        <f t="shared" si="25"/>
        <v>0</v>
      </c>
      <c r="I141" s="45">
        <f t="shared" si="25"/>
        <v>0</v>
      </c>
      <c r="J141" s="45">
        <f t="shared" si="25"/>
        <v>0</v>
      </c>
      <c r="K141" s="45">
        <f t="shared" si="25"/>
        <v>0</v>
      </c>
      <c r="L141" s="45">
        <f>SUM(L15:L139)</f>
        <v>0</v>
      </c>
      <c r="M141" s="65"/>
      <c r="N141" s="605">
        <f t="shared" ref="N141:R141" si="26">SUM(N15:N139)</f>
        <v>0</v>
      </c>
      <c r="O141" s="605">
        <f t="shared" si="26"/>
        <v>0</v>
      </c>
      <c r="P141" s="605">
        <f t="shared" si="26"/>
        <v>0</v>
      </c>
      <c r="Q141" s="605">
        <f t="shared" si="26"/>
        <v>0</v>
      </c>
      <c r="R141" s="605">
        <f t="shared" si="26"/>
        <v>0</v>
      </c>
      <c r="S141" s="65"/>
      <c r="T141" s="605">
        <f t="shared" ref="T141:X141" si="27">SUM(T15:T139)</f>
        <v>0</v>
      </c>
      <c r="U141" s="605">
        <f t="shared" si="27"/>
        <v>0</v>
      </c>
      <c r="V141" s="605">
        <f t="shared" si="27"/>
        <v>0</v>
      </c>
      <c r="W141" s="605">
        <f t="shared" si="27"/>
        <v>0</v>
      </c>
      <c r="X141" s="605">
        <f t="shared" si="27"/>
        <v>0</v>
      </c>
      <c r="Y141" s="65"/>
      <c r="Z141" s="605">
        <f t="shared" ref="Z141:AD141" si="28">SUM(Z15:Z139)</f>
        <v>0</v>
      </c>
      <c r="AA141" s="605">
        <f t="shared" si="28"/>
        <v>0</v>
      </c>
      <c r="AB141" s="605">
        <f t="shared" si="28"/>
        <v>0</v>
      </c>
      <c r="AC141" s="605">
        <f t="shared" si="28"/>
        <v>0</v>
      </c>
      <c r="AD141" s="605">
        <f t="shared" si="28"/>
        <v>0</v>
      </c>
      <c r="AE141" s="65"/>
      <c r="AF141" s="605">
        <f t="shared" ref="AF141:AJ141" si="29">SUM(AF15:AF139)</f>
        <v>0</v>
      </c>
      <c r="AG141" s="605">
        <f t="shared" si="29"/>
        <v>0</v>
      </c>
      <c r="AH141" s="605">
        <f t="shared" si="29"/>
        <v>0</v>
      </c>
      <c r="AI141" s="605">
        <f t="shared" si="29"/>
        <v>0</v>
      </c>
      <c r="AJ141" s="605">
        <f t="shared" si="29"/>
        <v>0</v>
      </c>
      <c r="AK141" s="682"/>
      <c r="AL141" s="816"/>
    </row>
    <row r="142" spans="2:38" x14ac:dyDescent="0.2">
      <c r="B142" s="75"/>
      <c r="AK142" s="682"/>
      <c r="AL142" s="816"/>
    </row>
    <row r="143" spans="2:38" x14ac:dyDescent="0.2">
      <c r="B143" s="75"/>
      <c r="C143" s="76"/>
      <c r="D143" s="120"/>
      <c r="E143" s="120"/>
      <c r="F143" s="121"/>
      <c r="G143" s="69"/>
      <c r="H143" s="69"/>
      <c r="I143" s="69"/>
      <c r="J143" s="69"/>
      <c r="K143" s="69"/>
      <c r="L143" s="69"/>
      <c r="M143" s="69"/>
      <c r="N143" s="76"/>
      <c r="O143" s="76"/>
      <c r="P143" s="76"/>
      <c r="Q143" s="69"/>
      <c r="R143" s="76"/>
      <c r="S143" s="76"/>
      <c r="T143" s="76"/>
      <c r="U143" s="76"/>
      <c r="V143" s="76"/>
      <c r="W143" s="69"/>
      <c r="X143" s="69"/>
      <c r="Y143" s="76"/>
      <c r="Z143" s="76"/>
      <c r="AA143" s="76"/>
      <c r="AB143" s="76"/>
      <c r="AC143" s="69"/>
      <c r="AD143" s="69"/>
      <c r="AE143" s="76"/>
      <c r="AF143" s="76"/>
      <c r="AG143" s="76"/>
      <c r="AH143" s="76"/>
      <c r="AI143" s="76"/>
      <c r="AJ143" s="76"/>
      <c r="AK143" s="76"/>
      <c r="AL143" s="816"/>
    </row>
    <row r="144" spans="2:38" x14ac:dyDescent="0.2">
      <c r="B144" s="85"/>
      <c r="C144" s="82"/>
      <c r="D144" s="134"/>
      <c r="E144" s="134"/>
      <c r="F144" s="135"/>
      <c r="G144" s="83"/>
      <c r="H144" s="83"/>
      <c r="I144" s="83"/>
      <c r="J144" s="83"/>
      <c r="K144" s="83"/>
      <c r="L144" s="1476"/>
      <c r="M144" s="83"/>
      <c r="N144" s="82"/>
      <c r="O144" s="82"/>
      <c r="P144" s="82"/>
      <c r="Q144" s="83"/>
      <c r="R144" s="82"/>
      <c r="S144" s="82"/>
      <c r="T144" s="82"/>
      <c r="U144" s="82"/>
      <c r="V144" s="82"/>
      <c r="W144" s="83"/>
      <c r="X144" s="83"/>
      <c r="Y144" s="82"/>
      <c r="Z144" s="82"/>
      <c r="AA144" s="82"/>
      <c r="AB144" s="82"/>
      <c r="AC144" s="83"/>
      <c r="AD144" s="83"/>
      <c r="AE144" s="82"/>
      <c r="AF144" s="82"/>
      <c r="AG144" s="82"/>
      <c r="AH144" s="82"/>
      <c r="AI144" s="82"/>
      <c r="AJ144" s="82"/>
      <c r="AK144" s="1414"/>
      <c r="AL144" s="1209"/>
    </row>
    <row r="147" spans="4:30" s="113" customFormat="1" x14ac:dyDescent="0.2">
      <c r="D147" s="114"/>
      <c r="E147" s="114"/>
      <c r="F147" s="115"/>
      <c r="G147" s="116"/>
      <c r="H147" s="116"/>
      <c r="I147" s="116"/>
      <c r="J147" s="116"/>
      <c r="K147" s="116"/>
      <c r="L147" s="116"/>
      <c r="M147" s="116"/>
      <c r="Q147" s="116"/>
      <c r="W147" s="116"/>
      <c r="X147" s="116"/>
      <c r="AC147" s="116"/>
      <c r="AD147" s="116"/>
    </row>
    <row r="157" spans="4:30" s="113" customFormat="1" x14ac:dyDescent="0.2">
      <c r="D157" s="114"/>
      <c r="E157" s="114"/>
      <c r="F157" s="115"/>
      <c r="G157" s="116"/>
      <c r="H157" s="116"/>
      <c r="I157" s="116"/>
      <c r="J157" s="116"/>
      <c r="K157" s="116"/>
      <c r="L157" s="116"/>
      <c r="M157" s="116"/>
      <c r="Q157" s="116"/>
      <c r="W157" s="116"/>
      <c r="X157" s="116"/>
      <c r="AC157" s="116"/>
      <c r="AD157" s="116"/>
    </row>
    <row r="162" spans="4:30" s="113" customFormat="1" x14ac:dyDescent="0.2">
      <c r="D162" s="114"/>
      <c r="E162" s="114"/>
      <c r="F162" s="115"/>
      <c r="G162" s="116"/>
      <c r="H162" s="116"/>
      <c r="I162" s="116"/>
      <c r="J162" s="116"/>
      <c r="K162" s="116"/>
      <c r="L162" s="116"/>
      <c r="M162" s="116"/>
      <c r="Q162" s="116"/>
      <c r="W162" s="116"/>
      <c r="X162" s="116"/>
      <c r="AC162" s="116"/>
      <c r="AD162" s="116"/>
    </row>
    <row r="167" spans="4:30" s="113" customFormat="1" x14ac:dyDescent="0.2">
      <c r="D167" s="114"/>
      <c r="E167" s="114"/>
      <c r="F167" s="115"/>
      <c r="G167" s="116"/>
      <c r="H167" s="116"/>
      <c r="I167" s="116"/>
      <c r="J167" s="116"/>
      <c r="K167" s="116"/>
      <c r="L167" s="116"/>
      <c r="M167" s="116"/>
      <c r="Q167" s="116"/>
      <c r="W167" s="116"/>
      <c r="X167" s="116"/>
      <c r="AC167" s="116"/>
      <c r="AD167" s="116"/>
    </row>
    <row r="172" spans="4:30" s="113" customFormat="1" x14ac:dyDescent="0.2">
      <c r="D172" s="114"/>
      <c r="E172" s="114"/>
      <c r="F172" s="115"/>
      <c r="G172" s="116"/>
      <c r="H172" s="116"/>
      <c r="I172" s="116"/>
      <c r="J172" s="116"/>
      <c r="K172" s="116"/>
      <c r="L172" s="116"/>
      <c r="M172" s="116"/>
      <c r="Q172" s="116"/>
      <c r="W172" s="116"/>
      <c r="X172" s="116"/>
      <c r="AC172" s="116"/>
      <c r="AD172" s="116"/>
    </row>
    <row r="177" spans="4:30" s="113" customFormat="1" x14ac:dyDescent="0.2">
      <c r="D177" s="114"/>
      <c r="E177" s="114"/>
      <c r="F177" s="115"/>
      <c r="G177" s="116"/>
      <c r="H177" s="116"/>
      <c r="I177" s="116"/>
      <c r="J177" s="116"/>
      <c r="K177" s="116"/>
      <c r="L177" s="116"/>
      <c r="M177" s="116"/>
      <c r="Q177" s="116"/>
      <c r="W177" s="116"/>
      <c r="X177" s="116"/>
      <c r="AC177" s="116"/>
      <c r="AD177" s="116"/>
    </row>
    <row r="182" spans="4:30" s="113" customFormat="1" x14ac:dyDescent="0.2">
      <c r="D182" s="114"/>
      <c r="E182" s="114"/>
      <c r="F182" s="115"/>
      <c r="G182" s="116"/>
      <c r="H182" s="116"/>
      <c r="I182" s="116"/>
      <c r="J182" s="116"/>
      <c r="K182" s="116"/>
      <c r="L182" s="116"/>
      <c r="M182" s="116"/>
      <c r="Q182" s="116"/>
      <c r="W182" s="116"/>
      <c r="X182" s="116"/>
      <c r="AC182" s="116"/>
      <c r="AD182" s="116"/>
    </row>
    <row r="193" spans="4:30" s="113" customFormat="1" x14ac:dyDescent="0.2">
      <c r="D193" s="114"/>
      <c r="E193" s="114"/>
      <c r="F193" s="115"/>
      <c r="G193" s="116"/>
      <c r="H193" s="116"/>
      <c r="I193" s="116"/>
      <c r="J193" s="116"/>
      <c r="K193" s="116"/>
      <c r="L193" s="116"/>
      <c r="M193" s="116"/>
      <c r="Q193" s="116"/>
      <c r="W193" s="116"/>
      <c r="X193" s="116"/>
      <c r="AC193" s="116"/>
      <c r="AD193" s="116"/>
    </row>
    <row r="198" spans="4:30" s="113" customFormat="1" x14ac:dyDescent="0.2">
      <c r="D198" s="114"/>
      <c r="E198" s="114"/>
      <c r="F198" s="115"/>
      <c r="G198" s="116"/>
      <c r="H198" s="116"/>
      <c r="I198" s="116"/>
      <c r="J198" s="116"/>
      <c r="K198" s="116"/>
      <c r="L198" s="116"/>
      <c r="M198" s="116"/>
      <c r="Q198" s="116"/>
      <c r="W198" s="116"/>
      <c r="X198" s="116"/>
      <c r="AC198" s="116"/>
      <c r="AD198" s="116"/>
    </row>
    <row r="203" spans="4:30" s="113" customFormat="1" x14ac:dyDescent="0.2">
      <c r="D203" s="114"/>
      <c r="E203" s="114"/>
      <c r="F203" s="115"/>
      <c r="G203" s="116"/>
      <c r="H203" s="116"/>
      <c r="I203" s="116"/>
      <c r="J203" s="116"/>
      <c r="K203" s="116"/>
      <c r="L203" s="116"/>
      <c r="M203" s="116"/>
      <c r="Q203" s="116"/>
      <c r="W203" s="116"/>
      <c r="X203" s="116"/>
      <c r="AC203" s="116"/>
      <c r="AD203" s="116"/>
    </row>
    <row r="208" spans="4:30" s="113" customFormat="1" x14ac:dyDescent="0.2">
      <c r="D208" s="114"/>
      <c r="E208" s="114"/>
      <c r="F208" s="115"/>
      <c r="G208" s="116"/>
      <c r="H208" s="116"/>
      <c r="I208" s="116"/>
      <c r="J208" s="116"/>
      <c r="K208" s="116"/>
      <c r="L208" s="116"/>
      <c r="M208" s="116"/>
      <c r="Q208" s="116"/>
      <c r="W208" s="116"/>
      <c r="X208" s="116"/>
      <c r="AC208" s="116"/>
      <c r="AD208" s="116"/>
    </row>
    <row r="213" spans="4:30" s="113" customFormat="1" x14ac:dyDescent="0.2">
      <c r="D213" s="114"/>
      <c r="E213" s="114"/>
      <c r="F213" s="115"/>
      <c r="G213" s="116"/>
      <c r="H213" s="116"/>
      <c r="I213" s="116"/>
      <c r="J213" s="116"/>
      <c r="K213" s="116"/>
      <c r="L213" s="116"/>
      <c r="M213" s="116"/>
      <c r="Q213" s="116"/>
      <c r="W213" s="116"/>
      <c r="X213" s="116"/>
      <c r="AC213" s="116"/>
      <c r="AD213" s="116"/>
    </row>
    <row r="216" spans="4:30" x14ac:dyDescent="0.2">
      <c r="D216" s="114"/>
      <c r="E216" s="114"/>
      <c r="F216" s="115"/>
      <c r="G216" s="116"/>
      <c r="M216" s="116"/>
      <c r="Q216" s="116"/>
      <c r="W216" s="116"/>
      <c r="X216" s="116"/>
      <c r="AC216" s="116"/>
      <c r="AD216" s="116"/>
    </row>
    <row r="217" spans="4:30" x14ac:dyDescent="0.2">
      <c r="D217" s="114"/>
      <c r="E217" s="114"/>
      <c r="F217" s="115"/>
      <c r="G217" s="116"/>
      <c r="M217" s="116"/>
      <c r="Q217" s="116"/>
      <c r="W217" s="116"/>
      <c r="X217" s="116"/>
      <c r="AC217" s="116"/>
      <c r="AD217" s="116"/>
    </row>
    <row r="218" spans="4:30" s="113" customFormat="1" x14ac:dyDescent="0.2">
      <c r="D218" s="114"/>
      <c r="E218" s="114"/>
      <c r="F218" s="115"/>
      <c r="G218" s="116"/>
      <c r="H218" s="116"/>
      <c r="I218" s="116"/>
      <c r="J218" s="116"/>
      <c r="K218" s="116"/>
      <c r="L218" s="116"/>
      <c r="M218" s="116"/>
      <c r="Q218" s="116"/>
      <c r="W218" s="116"/>
      <c r="X218" s="116"/>
      <c r="AC218" s="116"/>
      <c r="AD218" s="116"/>
    </row>
  </sheetData>
  <sheetProtection algorithmName="SHA-512" hashValue="njdNzJ47oehzxiQ+Xh/D4r9uyD2vHSMI8hW6q+taQh8guWaC5mrQzsRAJnNG/U4PJYC5B1DfK9WvEUaujE+mzA==" saltValue="RzrYmd3kEHyd6U9iSJTiyw==" spinCount="100000" sheet="1" objects="1" scenarios="1"/>
  <phoneticPr fontId="47" type="noConversion"/>
  <pageMargins left="0.74803149606299213" right="0.74803149606299213" top="0.98425196850393704" bottom="0.98425196850393704" header="0.51181102362204722" footer="0.51181102362204722"/>
  <pageSetup paperSize="9" scale="34" orientation="portrait" r:id="rId1"/>
  <headerFooter alignWithMargins="0">
    <oddHeader>&amp;L&amp;F&amp;R&amp;A</oddHeader>
    <oddFooter>&amp;Lkeizer&amp;Cpagina &amp;P&amp;R&amp;D</oddFooter>
  </headerFooter>
  <colBreaks count="1" manualBreakCount="1">
    <brk id="24" max="1048575" man="1"/>
  </col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M275"/>
  <sheetViews>
    <sheetView zoomScale="85" zoomScaleNormal="85" workbookViewId="0">
      <selection activeCell="B2" sqref="B2"/>
    </sheetView>
  </sheetViews>
  <sheetFormatPr defaultColWidth="9.7109375" defaultRowHeight="12.75" x14ac:dyDescent="0.2"/>
  <cols>
    <col min="1" max="1" width="3.7109375" style="6" customWidth="1"/>
    <col min="2" max="3" width="2.7109375" style="6" customWidth="1"/>
    <col min="4" max="4" width="35.7109375" style="6" customWidth="1"/>
    <col min="5" max="5" width="2.7109375" style="6" customWidth="1"/>
    <col min="6" max="10" width="16.85546875" style="6" customWidth="1"/>
    <col min="11" max="12" width="2.7109375" style="6" customWidth="1"/>
    <col min="13" max="19" width="9.7109375" style="6" customWidth="1"/>
    <col min="20" max="20" width="8" style="6" customWidth="1"/>
    <col min="21" max="21" width="13.85546875" style="6" customWidth="1"/>
    <col min="22" max="16384" width="9.7109375" style="6"/>
  </cols>
  <sheetData>
    <row r="2" spans="2:12" x14ac:dyDescent="0.2">
      <c r="B2" s="18"/>
      <c r="C2" s="19"/>
      <c r="D2" s="19"/>
      <c r="E2" s="19"/>
      <c r="F2" s="19"/>
      <c r="G2" s="19"/>
      <c r="H2" s="19"/>
      <c r="I2" s="19"/>
      <c r="J2" s="19"/>
      <c r="K2" s="19"/>
      <c r="L2" s="20"/>
    </row>
    <row r="3" spans="2:12" x14ac:dyDescent="0.2">
      <c r="B3" s="21"/>
      <c r="C3" s="22"/>
      <c r="D3" s="22"/>
      <c r="E3" s="22"/>
      <c r="F3" s="22"/>
      <c r="G3" s="22"/>
      <c r="H3" s="22"/>
      <c r="I3" s="22"/>
      <c r="J3" s="22"/>
      <c r="K3" s="22"/>
      <c r="L3" s="25"/>
    </row>
    <row r="4" spans="2:12" s="13" customFormat="1" ht="18.75" x14ac:dyDescent="0.3">
      <c r="B4" s="46"/>
      <c r="C4" s="101" t="s">
        <v>221</v>
      </c>
      <c r="D4" s="47"/>
      <c r="E4" s="47"/>
      <c r="F4" s="47"/>
      <c r="G4" s="47"/>
      <c r="H4" s="47"/>
      <c r="I4" s="47"/>
      <c r="J4" s="47"/>
      <c r="K4" s="47"/>
      <c r="L4" s="48"/>
    </row>
    <row r="5" spans="2:12" s="8" customFormat="1" ht="18.75" x14ac:dyDescent="0.3">
      <c r="B5" s="26"/>
      <c r="C5" s="428" t="str">
        <f>'geg ll'!C5</f>
        <v>Voorbeeld SWV VO Alkmaar</v>
      </c>
      <c r="D5" s="27"/>
      <c r="E5" s="27"/>
      <c r="F5" s="27"/>
      <c r="G5" s="27"/>
      <c r="H5" s="27"/>
      <c r="I5" s="27"/>
      <c r="J5" s="27"/>
      <c r="K5" s="27"/>
      <c r="L5" s="28"/>
    </row>
    <row r="6" spans="2:12" ht="12.75" customHeight="1" x14ac:dyDescent="0.25">
      <c r="B6" s="21"/>
      <c r="C6" s="99"/>
      <c r="D6" s="22"/>
      <c r="E6" s="22"/>
      <c r="F6" s="22"/>
      <c r="G6" s="22"/>
      <c r="H6" s="22"/>
      <c r="I6" s="22"/>
      <c r="J6" s="22"/>
      <c r="K6" s="22"/>
      <c r="L6" s="25"/>
    </row>
    <row r="7" spans="2:12" ht="12.75" customHeight="1" x14ac:dyDescent="0.25">
      <c r="B7" s="21"/>
      <c r="C7" s="99"/>
      <c r="D7" s="22"/>
      <c r="E7" s="22"/>
      <c r="F7" s="22"/>
      <c r="G7" s="22"/>
      <c r="H7" s="22"/>
      <c r="I7" s="22"/>
      <c r="J7" s="22"/>
      <c r="K7" s="22"/>
      <c r="L7" s="25"/>
    </row>
    <row r="8" spans="2:12" ht="12.75" customHeight="1" x14ac:dyDescent="0.25">
      <c r="B8" s="21"/>
      <c r="C8" s="99"/>
      <c r="D8" s="22"/>
      <c r="E8" s="22"/>
      <c r="F8" s="22"/>
      <c r="G8" s="22"/>
      <c r="H8" s="22"/>
      <c r="I8" s="22"/>
      <c r="J8" s="22"/>
      <c r="K8" s="22"/>
      <c r="L8" s="25"/>
    </row>
    <row r="9" spans="2:12" ht="12.75" customHeight="1" x14ac:dyDescent="0.2">
      <c r="B9" s="21"/>
      <c r="C9" s="64"/>
      <c r="D9" s="32"/>
      <c r="E9" s="32"/>
      <c r="F9" s="32"/>
      <c r="G9" s="32"/>
      <c r="H9" s="32"/>
      <c r="I9" s="32"/>
      <c r="J9" s="32"/>
      <c r="K9" s="32"/>
      <c r="L9" s="25"/>
    </row>
    <row r="10" spans="2:12" ht="12.75" customHeight="1" x14ac:dyDescent="0.2">
      <c r="B10" s="21"/>
      <c r="C10" s="33"/>
      <c r="D10" s="100" t="s">
        <v>222</v>
      </c>
      <c r="E10" s="34"/>
      <c r="F10" s="34"/>
      <c r="G10" s="34"/>
      <c r="H10" s="841"/>
      <c r="I10" s="34"/>
      <c r="J10" s="34"/>
      <c r="K10" s="34"/>
      <c r="L10" s="25"/>
    </row>
    <row r="11" spans="2:12" ht="12.75" customHeight="1" x14ac:dyDescent="0.2">
      <c r="B11" s="21"/>
      <c r="C11" s="33"/>
      <c r="D11" s="187" t="s">
        <v>594</v>
      </c>
      <c r="E11" s="34"/>
      <c r="F11" s="34"/>
      <c r="G11" s="34"/>
      <c r="H11" s="841"/>
      <c r="I11" s="34"/>
      <c r="J11" s="34"/>
      <c r="K11" s="34"/>
      <c r="L11" s="25"/>
    </row>
    <row r="12" spans="2:12" ht="12.75" customHeight="1" x14ac:dyDescent="0.2">
      <c r="B12" s="21"/>
      <c r="C12" s="33"/>
      <c r="D12" s="34"/>
      <c r="E12" s="34"/>
      <c r="F12" s="34"/>
      <c r="G12" s="34"/>
      <c r="H12" s="34"/>
      <c r="I12" s="34"/>
      <c r="J12" s="34"/>
      <c r="K12" s="34"/>
      <c r="L12" s="25"/>
    </row>
    <row r="13" spans="2:12" ht="12.75" customHeight="1" x14ac:dyDescent="0.2">
      <c r="B13" s="21"/>
      <c r="C13" s="33"/>
      <c r="D13" s="34"/>
      <c r="E13" s="34"/>
      <c r="F13" s="36"/>
      <c r="G13" s="34"/>
      <c r="H13" s="34"/>
      <c r="I13" s="34"/>
      <c r="J13" s="34"/>
      <c r="K13" s="34"/>
      <c r="L13" s="25"/>
    </row>
    <row r="14" spans="2:12" ht="12.75" customHeight="1" x14ac:dyDescent="0.2">
      <c r="B14" s="21"/>
      <c r="C14" s="33"/>
      <c r="D14" s="34" t="s">
        <v>54</v>
      </c>
      <c r="E14" s="34"/>
      <c r="F14" s="103">
        <v>0.05</v>
      </c>
      <c r="G14" s="103">
        <v>0.1</v>
      </c>
      <c r="H14" s="103">
        <v>0.15</v>
      </c>
      <c r="I14" s="103">
        <v>0.2</v>
      </c>
      <c r="J14" s="103">
        <v>0.25</v>
      </c>
      <c r="K14" s="34"/>
      <c r="L14" s="25"/>
    </row>
    <row r="15" spans="2:12" ht="12.75" customHeight="1" x14ac:dyDescent="0.2">
      <c r="B15" s="21"/>
      <c r="C15" s="33"/>
      <c r="D15" s="34" t="s">
        <v>55</v>
      </c>
      <c r="E15" s="34"/>
      <c r="F15" s="1474" t="s">
        <v>86</v>
      </c>
      <c r="G15" s="102" t="s">
        <v>87</v>
      </c>
      <c r="H15" s="102" t="s">
        <v>88</v>
      </c>
      <c r="I15" s="102" t="s">
        <v>89</v>
      </c>
      <c r="J15" s="102">
        <v>12</v>
      </c>
      <c r="K15" s="34"/>
      <c r="L15" s="25"/>
    </row>
    <row r="16" spans="2:12" ht="12.75" customHeight="1" x14ac:dyDescent="0.2">
      <c r="B16" s="21"/>
      <c r="C16" s="33"/>
      <c r="D16" s="34" t="s">
        <v>56</v>
      </c>
      <c r="E16" s="34"/>
      <c r="F16" s="107">
        <f>ROUND(F14*tab!$G66*VLOOKUP(F15,Verhoudingstabel_LB,2,FALSE),-1)</f>
        <v>4700</v>
      </c>
      <c r="G16" s="107">
        <f>ROUND(G14*tab!$G66*VLOOKUP(G15,Verhoudingstabel_LB,2,FALSE),-1)</f>
        <v>10950</v>
      </c>
      <c r="H16" s="107">
        <f>ROUND(H14*tab!$G66*VLOOKUP(H15,Verhoudingstabel_LB,2,FALSE),-1)</f>
        <v>18680</v>
      </c>
      <c r="I16" s="107">
        <f>ROUND(I14*tab!$G66*VLOOKUP(I15,Verhoudingstabel_LB,2,FALSE),-1)</f>
        <v>27000</v>
      </c>
      <c r="J16" s="107">
        <f>ROUND(J14*tab!$G66*VLOOKUP(J15,Verhoudingstabel_LB,2,FALSE),-1)</f>
        <v>31140</v>
      </c>
      <c r="K16" s="34"/>
      <c r="L16" s="25"/>
    </row>
    <row r="17" spans="2:12" ht="12.75" customHeight="1" x14ac:dyDescent="0.2">
      <c r="B17" s="21"/>
      <c r="C17" s="33"/>
      <c r="D17" s="34"/>
      <c r="E17" s="36"/>
      <c r="F17" s="34"/>
      <c r="G17" s="34"/>
      <c r="H17" s="34"/>
      <c r="I17" s="34"/>
      <c r="J17" s="34"/>
      <c r="K17" s="34"/>
      <c r="L17" s="25"/>
    </row>
    <row r="18" spans="2:12" ht="12.75" customHeight="1" x14ac:dyDescent="0.2">
      <c r="B18" s="21"/>
      <c r="C18" s="33"/>
      <c r="D18" s="34" t="s">
        <v>54</v>
      </c>
      <c r="E18" s="34"/>
      <c r="F18" s="103">
        <v>0.3</v>
      </c>
      <c r="G18" s="103">
        <v>0.4</v>
      </c>
      <c r="H18" s="103">
        <v>0.45</v>
      </c>
      <c r="I18" s="103">
        <v>0.5</v>
      </c>
      <c r="J18" s="103">
        <v>0.6</v>
      </c>
      <c r="K18" s="34"/>
      <c r="L18" s="25"/>
    </row>
    <row r="19" spans="2:12" ht="12.75" customHeight="1" x14ac:dyDescent="0.2">
      <c r="B19" s="21"/>
      <c r="C19" s="33"/>
      <c r="D19" s="34" t="s">
        <v>55</v>
      </c>
      <c r="E19" s="34"/>
      <c r="F19" s="102">
        <v>8</v>
      </c>
      <c r="G19" s="102">
        <v>9</v>
      </c>
      <c r="H19" s="102">
        <v>10</v>
      </c>
      <c r="I19" s="102">
        <v>11</v>
      </c>
      <c r="J19" s="102">
        <v>12</v>
      </c>
      <c r="K19" s="34"/>
      <c r="L19" s="25"/>
    </row>
    <row r="20" spans="2:12" ht="12.75" customHeight="1" x14ac:dyDescent="0.2">
      <c r="B20" s="21"/>
      <c r="C20" s="33"/>
      <c r="D20" s="34" t="s">
        <v>56</v>
      </c>
      <c r="E20" s="34"/>
      <c r="F20" s="107">
        <f>ROUND(F18*tab!$G66*VLOOKUP(F19,Verhoudingstabel_LB,2,FALSE),-1)</f>
        <v>22730</v>
      </c>
      <c r="G20" s="107">
        <f>ROUND(G18*tab!$G66*VLOOKUP(G19,Verhoudingstabel_LB,2,FALSE),-1)</f>
        <v>33180</v>
      </c>
      <c r="H20" s="107">
        <f>ROUND(H18*tab!$G66*VLOOKUP(H19,Verhoudingstabel_LB,2,FALSE),-1)</f>
        <v>42300</v>
      </c>
      <c r="I20" s="107">
        <f>ROUND(I18*tab!$G66*VLOOKUP(I19,Verhoudingstabel_LB,2,FALSE),-1)</f>
        <v>54770</v>
      </c>
      <c r="J20" s="107">
        <f>ROUND(J18*tab!$G66*VLOOKUP(J19,Verhoudingstabel_LB,2,FALSE),-1)</f>
        <v>74730</v>
      </c>
      <c r="K20" s="34"/>
      <c r="L20" s="25"/>
    </row>
    <row r="21" spans="2:12" ht="12.75" customHeight="1" x14ac:dyDescent="0.2">
      <c r="B21" s="21"/>
      <c r="C21" s="38"/>
      <c r="D21" s="39"/>
      <c r="E21" s="50"/>
      <c r="F21" s="39"/>
      <c r="G21" s="39"/>
      <c r="H21" s="39"/>
      <c r="I21" s="39"/>
      <c r="J21" s="39"/>
      <c r="K21" s="39"/>
      <c r="L21" s="25"/>
    </row>
    <row r="22" spans="2:12" ht="12.75" customHeight="1" x14ac:dyDescent="0.2">
      <c r="B22" s="21"/>
      <c r="C22" s="22"/>
      <c r="D22" s="22"/>
      <c r="E22" s="23"/>
      <c r="F22" s="22"/>
      <c r="G22" s="22"/>
      <c r="H22" s="22"/>
      <c r="I22" s="22"/>
      <c r="J22" s="22"/>
      <c r="K22" s="22"/>
      <c r="L22" s="25"/>
    </row>
    <row r="23" spans="2:12" ht="12.75" customHeight="1" x14ac:dyDescent="0.2">
      <c r="B23" s="21"/>
      <c r="C23" s="31"/>
      <c r="D23" s="32"/>
      <c r="E23" s="41"/>
      <c r="F23" s="32"/>
      <c r="G23" s="32"/>
      <c r="H23" s="32"/>
      <c r="I23" s="32"/>
      <c r="J23" s="32"/>
      <c r="K23" s="32"/>
      <c r="L23" s="25"/>
    </row>
    <row r="24" spans="2:12" ht="12.75" customHeight="1" x14ac:dyDescent="0.2">
      <c r="B24" s="21"/>
      <c r="C24" s="33"/>
      <c r="D24" s="100" t="s">
        <v>223</v>
      </c>
      <c r="E24" s="36"/>
      <c r="F24" s="34"/>
      <c r="G24" s="34"/>
      <c r="H24" s="34"/>
      <c r="I24" s="34"/>
      <c r="J24" s="34"/>
      <c r="K24" s="34"/>
      <c r="L24" s="25"/>
    </row>
    <row r="25" spans="2:12" ht="12.75" customHeight="1" x14ac:dyDescent="0.2">
      <c r="B25" s="21"/>
      <c r="C25" s="33"/>
      <c r="D25" s="34"/>
      <c r="E25" s="36"/>
      <c r="F25" s="34"/>
      <c r="G25" s="34"/>
      <c r="H25" s="34"/>
      <c r="I25" s="34"/>
      <c r="J25" s="34"/>
      <c r="K25" s="34"/>
      <c r="L25" s="25"/>
    </row>
    <row r="26" spans="2:12" ht="12.75" customHeight="1" x14ac:dyDescent="0.2">
      <c r="B26" s="21"/>
      <c r="C26" s="33"/>
      <c r="D26" s="34" t="s">
        <v>57</v>
      </c>
      <c r="E26" s="34"/>
      <c r="F26" s="150" t="s">
        <v>58</v>
      </c>
      <c r="G26" s="95" t="s">
        <v>58</v>
      </c>
      <c r="H26" s="95" t="s">
        <v>58</v>
      </c>
      <c r="I26" s="95" t="s">
        <v>58</v>
      </c>
      <c r="J26" s="95" t="s">
        <v>58</v>
      </c>
      <c r="K26" s="34"/>
      <c r="L26" s="25"/>
    </row>
    <row r="27" spans="2:12" ht="12.75" customHeight="1" x14ac:dyDescent="0.2">
      <c r="B27" s="21"/>
      <c r="C27" s="33"/>
      <c r="D27" s="34" t="s">
        <v>91</v>
      </c>
      <c r="E27" s="34"/>
      <c r="F27" s="1474" t="s">
        <v>86</v>
      </c>
      <c r="G27" s="102">
        <v>13</v>
      </c>
      <c r="H27" s="102">
        <v>14</v>
      </c>
      <c r="I27" s="102">
        <v>15</v>
      </c>
      <c r="J27" s="102">
        <v>16</v>
      </c>
      <c r="K27" s="34"/>
      <c r="L27" s="25"/>
    </row>
    <row r="28" spans="2:12" ht="12.75" customHeight="1" x14ac:dyDescent="0.2">
      <c r="B28" s="21"/>
      <c r="C28" s="33"/>
      <c r="D28" s="34" t="s">
        <v>59</v>
      </c>
      <c r="E28" s="34"/>
      <c r="F28" s="42">
        <v>11</v>
      </c>
      <c r="G28" s="42">
        <v>11</v>
      </c>
      <c r="H28" s="42">
        <v>11</v>
      </c>
      <c r="I28" s="42">
        <v>11</v>
      </c>
      <c r="J28" s="42">
        <v>11</v>
      </c>
      <c r="K28" s="34"/>
      <c r="L28" s="25"/>
    </row>
    <row r="29" spans="2:12" ht="12.75" customHeight="1" x14ac:dyDescent="0.2">
      <c r="B29" s="21"/>
      <c r="C29" s="33"/>
      <c r="D29" s="34" t="s">
        <v>60</v>
      </c>
      <c r="E29" s="34"/>
      <c r="F29" s="105">
        <f>ROUND(VLOOKUP(F27,salmrt2020,F28+1,FALSE),0)</f>
        <v>4078</v>
      </c>
      <c r="G29" s="105">
        <f>ROUND(VLOOKUP(G27,salmrt2020,G28+1,FALSE),0)</f>
        <v>5939</v>
      </c>
      <c r="H29" s="105">
        <f>ROUND(VLOOKUP(H27,salmrt2020,H28+1,FALSE),0)</f>
        <v>6786</v>
      </c>
      <c r="I29" s="105">
        <f>ROUND(VLOOKUP(I27,salmrt2020,I28+1,FALSE),0)</f>
        <v>7223</v>
      </c>
      <c r="J29" s="105">
        <f>ROUND(VLOOKUP(J27,salmrt2020,J28+1,FALSE),0)</f>
        <v>7932</v>
      </c>
      <c r="K29" s="34"/>
      <c r="L29" s="25"/>
    </row>
    <row r="30" spans="2:12" ht="12.75" customHeight="1" x14ac:dyDescent="0.2">
      <c r="B30" s="21"/>
      <c r="C30" s="33"/>
      <c r="D30" s="34" t="s">
        <v>54</v>
      </c>
      <c r="E30" s="34"/>
      <c r="F30" s="103">
        <v>0.5</v>
      </c>
      <c r="G30" s="103">
        <v>0.5</v>
      </c>
      <c r="H30" s="103">
        <v>0.5</v>
      </c>
      <c r="I30" s="103">
        <v>0.5</v>
      </c>
      <c r="J30" s="103">
        <v>0.5</v>
      </c>
      <c r="K30" s="34"/>
      <c r="L30" s="25"/>
    </row>
    <row r="31" spans="2:12" ht="12.75" customHeight="1" x14ac:dyDescent="0.2">
      <c r="B31" s="21"/>
      <c r="C31" s="33"/>
      <c r="D31" s="34" t="s">
        <v>61</v>
      </c>
      <c r="E31" s="34"/>
      <c r="F31" s="105">
        <f>+F29*F30</f>
        <v>2039</v>
      </c>
      <c r="G31" s="105">
        <f>+G29*G30</f>
        <v>2969.5</v>
      </c>
      <c r="H31" s="105">
        <f>+H29*H30</f>
        <v>3393</v>
      </c>
      <c r="I31" s="105">
        <f>+I29*I30</f>
        <v>3611.5</v>
      </c>
      <c r="J31" s="105">
        <f>+J29*J30</f>
        <v>3966</v>
      </c>
      <c r="K31" s="34"/>
      <c r="L31" s="25"/>
    </row>
    <row r="32" spans="2:12" ht="12.75" customHeight="1" x14ac:dyDescent="0.2">
      <c r="B32" s="21"/>
      <c r="C32" s="33"/>
      <c r="D32" s="34" t="s">
        <v>62</v>
      </c>
      <c r="E32" s="34"/>
      <c r="F32" s="104">
        <f>+tab!$E$69</f>
        <v>0.54</v>
      </c>
      <c r="G32" s="104">
        <f>+tab!$E69</f>
        <v>0.54</v>
      </c>
      <c r="H32" s="104">
        <f>+tab!$E69</f>
        <v>0.54</v>
      </c>
      <c r="I32" s="104">
        <f>+tab!$E69</f>
        <v>0.54</v>
      </c>
      <c r="J32" s="104">
        <f>+tab!$E69</f>
        <v>0.54</v>
      </c>
      <c r="K32" s="34"/>
      <c r="L32" s="25"/>
    </row>
    <row r="33" spans="2:13" ht="12.75" customHeight="1" x14ac:dyDescent="0.2">
      <c r="B33" s="21"/>
      <c r="C33" s="33"/>
      <c r="D33" s="187" t="s">
        <v>644</v>
      </c>
      <c r="E33" s="34"/>
      <c r="F33" s="106">
        <f>+F31*(1+F32)*12</f>
        <v>37680.720000000001</v>
      </c>
      <c r="G33" s="106">
        <f>+G31*(1+G32)*12</f>
        <v>54876.36</v>
      </c>
      <c r="H33" s="106">
        <f>+H31*(1+H32)*12</f>
        <v>62702.64</v>
      </c>
      <c r="I33" s="106">
        <f>+I31*(1+I32)*12</f>
        <v>66740.52</v>
      </c>
      <c r="J33" s="106">
        <f>+J31*(1+J32)*12</f>
        <v>73291.680000000008</v>
      </c>
      <c r="K33" s="34"/>
      <c r="L33" s="25"/>
    </row>
    <row r="34" spans="2:13" ht="12.75" customHeight="1" x14ac:dyDescent="0.2">
      <c r="B34" s="21"/>
      <c r="C34" s="33"/>
      <c r="D34" s="34"/>
      <c r="E34" s="34"/>
      <c r="F34" s="182"/>
      <c r="G34" s="182"/>
      <c r="H34" s="182"/>
      <c r="I34" s="182"/>
      <c r="J34" s="182"/>
      <c r="K34" s="34"/>
      <c r="L34" s="25"/>
      <c r="M34" s="14"/>
    </row>
    <row r="35" spans="2:13" ht="12.75" customHeight="1" x14ac:dyDescent="0.2">
      <c r="B35" s="21"/>
      <c r="C35" s="33"/>
      <c r="D35" s="34"/>
      <c r="E35" s="34"/>
      <c r="F35" s="182"/>
      <c r="G35" s="182"/>
      <c r="H35" s="182"/>
      <c r="I35" s="182"/>
      <c r="J35" s="182"/>
      <c r="K35" s="34"/>
      <c r="L35" s="25"/>
      <c r="M35" s="14"/>
    </row>
    <row r="36" spans="2:13" ht="12.75" customHeight="1" x14ac:dyDescent="0.2">
      <c r="B36" s="21"/>
      <c r="C36" s="33"/>
      <c r="D36" s="34" t="s">
        <v>57</v>
      </c>
      <c r="E36" s="34"/>
      <c r="F36" s="95" t="s">
        <v>58</v>
      </c>
      <c r="G36" s="95" t="s">
        <v>58</v>
      </c>
      <c r="H36" s="95" t="s">
        <v>58</v>
      </c>
      <c r="I36" s="95" t="s">
        <v>58</v>
      </c>
      <c r="J36" s="95" t="s">
        <v>58</v>
      </c>
      <c r="K36" s="34"/>
      <c r="L36" s="25"/>
    </row>
    <row r="37" spans="2:13" ht="12.75" customHeight="1" x14ac:dyDescent="0.2">
      <c r="B37" s="21"/>
      <c r="C37" s="33"/>
      <c r="D37" s="34" t="s">
        <v>91</v>
      </c>
      <c r="E37" s="34"/>
      <c r="F37" s="102" t="s">
        <v>86</v>
      </c>
      <c r="G37" s="102" t="s">
        <v>87</v>
      </c>
      <c r="H37" s="102" t="s">
        <v>88</v>
      </c>
      <c r="I37" s="102" t="s">
        <v>88</v>
      </c>
      <c r="J37" s="102" t="s">
        <v>88</v>
      </c>
      <c r="K37" s="34"/>
      <c r="L37" s="25"/>
    </row>
    <row r="38" spans="2:13" ht="12.75" customHeight="1" x14ac:dyDescent="0.2">
      <c r="B38" s="21"/>
      <c r="C38" s="33"/>
      <c r="D38" s="34" t="s">
        <v>59</v>
      </c>
      <c r="E38" s="34"/>
      <c r="F38" s="42">
        <v>12</v>
      </c>
      <c r="G38" s="42">
        <v>12</v>
      </c>
      <c r="H38" s="42">
        <v>12</v>
      </c>
      <c r="I38" s="42">
        <v>12</v>
      </c>
      <c r="J38" s="42">
        <v>12</v>
      </c>
      <c r="K38" s="34"/>
      <c r="L38" s="25"/>
    </row>
    <row r="39" spans="2:13" ht="12.75" customHeight="1" x14ac:dyDescent="0.2">
      <c r="B39" s="21"/>
      <c r="C39" s="33"/>
      <c r="D39" s="34" t="s">
        <v>60</v>
      </c>
      <c r="E39" s="34"/>
      <c r="F39" s="105">
        <f>ROUND(VLOOKUP(F37,salmrt2020,F38+1,FALSE),0)</f>
        <v>4301</v>
      </c>
      <c r="G39" s="105">
        <f>ROUND(VLOOKUP(G37,salmrt2020,G38+1,FALSE),0)</f>
        <v>5012</v>
      </c>
      <c r="H39" s="105">
        <f>ROUND(VLOOKUP(H37,salmrt2020,H38+1,FALSE),0)</f>
        <v>5699</v>
      </c>
      <c r="I39" s="105">
        <f>ROUND(VLOOKUP(I37,salmrt2020,I38+1,FALSE),0)</f>
        <v>5699</v>
      </c>
      <c r="J39" s="105">
        <f>ROUND(VLOOKUP(J37,salmrt2020,J38+1,FALSE),0)</f>
        <v>5699</v>
      </c>
      <c r="K39" s="34"/>
      <c r="L39" s="25"/>
    </row>
    <row r="40" spans="2:13" ht="12.75" customHeight="1" x14ac:dyDescent="0.2">
      <c r="B40" s="21"/>
      <c r="C40" s="33"/>
      <c r="D40" s="34" t="s">
        <v>54</v>
      </c>
      <c r="E40" s="34"/>
      <c r="F40" s="103">
        <v>0.5</v>
      </c>
      <c r="G40" s="103">
        <v>0.5</v>
      </c>
      <c r="H40" s="103">
        <v>0.5</v>
      </c>
      <c r="I40" s="103">
        <v>0.5</v>
      </c>
      <c r="J40" s="103">
        <v>0.5</v>
      </c>
      <c r="K40" s="34"/>
      <c r="L40" s="25"/>
    </row>
    <row r="41" spans="2:13" ht="12.75" customHeight="1" x14ac:dyDescent="0.2">
      <c r="B41" s="21"/>
      <c r="C41" s="33"/>
      <c r="D41" s="34" t="s">
        <v>61</v>
      </c>
      <c r="E41" s="34"/>
      <c r="F41" s="105">
        <f>+F39*F40</f>
        <v>2150.5</v>
      </c>
      <c r="G41" s="105">
        <f>+G39*G40</f>
        <v>2506</v>
      </c>
      <c r="H41" s="105">
        <f>+H39*H40</f>
        <v>2849.5</v>
      </c>
      <c r="I41" s="105">
        <f>+I39*I40</f>
        <v>2849.5</v>
      </c>
      <c r="J41" s="105">
        <f>+J39*J40</f>
        <v>2849.5</v>
      </c>
      <c r="K41" s="34"/>
      <c r="L41" s="25"/>
    </row>
    <row r="42" spans="2:13" ht="12.75" customHeight="1" x14ac:dyDescent="0.2">
      <c r="B42" s="21"/>
      <c r="C42" s="33"/>
      <c r="D42" s="34" t="s">
        <v>62</v>
      </c>
      <c r="E42" s="34"/>
      <c r="F42" s="104">
        <f>+tab!$E$69</f>
        <v>0.54</v>
      </c>
      <c r="G42" s="104">
        <f>+tab!$E$69</f>
        <v>0.54</v>
      </c>
      <c r="H42" s="104">
        <f>+tab!$E$69</f>
        <v>0.54</v>
      </c>
      <c r="I42" s="104">
        <f>+tab!$E$69</f>
        <v>0.54</v>
      </c>
      <c r="J42" s="104">
        <f>+tab!$E$69</f>
        <v>0.54</v>
      </c>
      <c r="K42" s="34"/>
      <c r="L42" s="25"/>
    </row>
    <row r="43" spans="2:13" ht="12.75" customHeight="1" x14ac:dyDescent="0.2">
      <c r="B43" s="21"/>
      <c r="C43" s="33"/>
      <c r="D43" s="187" t="s">
        <v>644</v>
      </c>
      <c r="E43" s="34"/>
      <c r="F43" s="106">
        <f>+F41*(1+F42)*12</f>
        <v>39741.24</v>
      </c>
      <c r="G43" s="106">
        <f>+G41*(1+G42)*12</f>
        <v>46310.880000000005</v>
      </c>
      <c r="H43" s="106">
        <f>+H41*(1+H42)*12</f>
        <v>52658.760000000009</v>
      </c>
      <c r="I43" s="106">
        <f>+I41*(1+I42)*12</f>
        <v>52658.760000000009</v>
      </c>
      <c r="J43" s="106">
        <f>+J41*(1+J42)*12</f>
        <v>52658.760000000009</v>
      </c>
      <c r="K43" s="34"/>
      <c r="L43" s="25"/>
    </row>
    <row r="44" spans="2:13" ht="12.75" customHeight="1" x14ac:dyDescent="0.2">
      <c r="B44" s="21"/>
      <c r="C44" s="38"/>
      <c r="D44" s="39"/>
      <c r="E44" s="39"/>
      <c r="F44" s="40"/>
      <c r="G44" s="40"/>
      <c r="H44" s="40"/>
      <c r="I44" s="40"/>
      <c r="J44" s="40"/>
      <c r="K44" s="39"/>
      <c r="L44" s="25"/>
    </row>
    <row r="45" spans="2:13" ht="12.75" customHeight="1" x14ac:dyDescent="0.2">
      <c r="B45" s="21"/>
      <c r="C45" s="22"/>
      <c r="D45" s="22"/>
      <c r="E45" s="22"/>
      <c r="F45" s="24"/>
      <c r="G45" s="24"/>
      <c r="H45" s="24"/>
      <c r="I45" s="24"/>
      <c r="J45" s="24"/>
      <c r="K45" s="22"/>
      <c r="L45" s="25"/>
    </row>
    <row r="46" spans="2:13" ht="12.75" customHeight="1" x14ac:dyDescent="0.2">
      <c r="B46" s="180"/>
      <c r="C46" s="162"/>
      <c r="D46" s="162"/>
      <c r="E46" s="162"/>
      <c r="F46" s="162"/>
      <c r="G46" s="162"/>
      <c r="H46" s="162"/>
      <c r="I46" s="162"/>
      <c r="J46" s="162"/>
      <c r="K46" s="613" t="s">
        <v>378</v>
      </c>
      <c r="L46" s="181"/>
    </row>
    <row r="47" spans="2:13" ht="12.75" customHeight="1" x14ac:dyDescent="0.2"/>
    <row r="48" spans="2:13" ht="12.75" customHeight="1" x14ac:dyDescent="0.2"/>
    <row r="49" spans="3:4" ht="12.75" customHeight="1" x14ac:dyDescent="0.2"/>
    <row r="50" spans="3:4" ht="12.75" customHeight="1" x14ac:dyDescent="0.2"/>
    <row r="51" spans="3:4" ht="12.75" customHeight="1" x14ac:dyDescent="0.2"/>
    <row r="52" spans="3:4" ht="12.75" customHeight="1" x14ac:dyDescent="0.2"/>
    <row r="53" spans="3:4" ht="12.75" customHeight="1" x14ac:dyDescent="0.2"/>
    <row r="54" spans="3:4" s="7" customFormat="1" ht="12.75" customHeight="1" x14ac:dyDescent="0.2"/>
    <row r="55" spans="3:4" ht="12.75" customHeight="1" x14ac:dyDescent="0.2"/>
    <row r="56" spans="3:4" ht="12.75" customHeight="1" x14ac:dyDescent="0.2"/>
    <row r="57" spans="3:4" ht="12.75" customHeight="1" x14ac:dyDescent="0.2">
      <c r="C57" s="15"/>
      <c r="D57" s="604" t="s">
        <v>86</v>
      </c>
    </row>
    <row r="58" spans="3:4" ht="12.75" customHeight="1" x14ac:dyDescent="0.2">
      <c r="C58" s="15"/>
      <c r="D58" s="604" t="s">
        <v>87</v>
      </c>
    </row>
    <row r="59" spans="3:4" ht="12.75" customHeight="1" x14ac:dyDescent="0.2">
      <c r="C59" s="15"/>
      <c r="D59" s="604" t="s">
        <v>88</v>
      </c>
    </row>
    <row r="60" spans="3:4" ht="12.75" customHeight="1" x14ac:dyDescent="0.2">
      <c r="C60" s="15"/>
      <c r="D60" s="604" t="s">
        <v>89</v>
      </c>
    </row>
    <row r="61" spans="3:4" ht="12.75" customHeight="1" x14ac:dyDescent="0.2">
      <c r="C61" s="15"/>
      <c r="D61" s="604">
        <v>1</v>
      </c>
    </row>
    <row r="62" spans="3:4" ht="12.75" customHeight="1" x14ac:dyDescent="0.2">
      <c r="C62" s="15"/>
      <c r="D62" s="604">
        <v>2</v>
      </c>
    </row>
    <row r="63" spans="3:4" ht="12.75" customHeight="1" x14ac:dyDescent="0.2">
      <c r="C63" s="15"/>
      <c r="D63" s="604">
        <v>3</v>
      </c>
    </row>
    <row r="64" spans="3:4" ht="12.75" customHeight="1" x14ac:dyDescent="0.2">
      <c r="C64" s="15"/>
      <c r="D64" s="604">
        <v>4</v>
      </c>
    </row>
    <row r="65" spans="3:4" ht="12.75" customHeight="1" x14ac:dyDescent="0.2">
      <c r="C65" s="15"/>
      <c r="D65" s="604">
        <v>5</v>
      </c>
    </row>
    <row r="66" spans="3:4" ht="12.75" customHeight="1" x14ac:dyDescent="0.2">
      <c r="C66" s="15"/>
      <c r="D66" s="604">
        <v>6</v>
      </c>
    </row>
    <row r="67" spans="3:4" ht="12.75" customHeight="1" x14ac:dyDescent="0.2">
      <c r="C67" s="15"/>
      <c r="D67" s="604">
        <v>7</v>
      </c>
    </row>
    <row r="68" spans="3:4" ht="12.75" customHeight="1" x14ac:dyDescent="0.2">
      <c r="C68" s="15"/>
      <c r="D68" s="604">
        <v>8</v>
      </c>
    </row>
    <row r="69" spans="3:4" ht="12.75" customHeight="1" x14ac:dyDescent="0.2">
      <c r="C69" s="15"/>
      <c r="D69" s="604">
        <v>9</v>
      </c>
    </row>
    <row r="70" spans="3:4" ht="12.75" customHeight="1" x14ac:dyDescent="0.2">
      <c r="C70" s="15"/>
      <c r="D70" s="604">
        <v>10</v>
      </c>
    </row>
    <row r="71" spans="3:4" ht="12.75" customHeight="1" x14ac:dyDescent="0.2">
      <c r="C71" s="15"/>
      <c r="D71" s="604">
        <v>11</v>
      </c>
    </row>
    <row r="72" spans="3:4" ht="12.75" customHeight="1" x14ac:dyDescent="0.2">
      <c r="C72" s="15"/>
      <c r="D72" s="604">
        <v>12</v>
      </c>
    </row>
    <row r="73" spans="3:4" ht="12.75" customHeight="1" x14ac:dyDescent="0.2">
      <c r="C73" s="16"/>
      <c r="D73" s="604">
        <v>13</v>
      </c>
    </row>
    <row r="74" spans="3:4" ht="12.75" customHeight="1" x14ac:dyDescent="0.2">
      <c r="C74" s="16"/>
      <c r="D74" s="604">
        <v>14</v>
      </c>
    </row>
    <row r="75" spans="3:4" ht="12.75" customHeight="1" x14ac:dyDescent="0.2">
      <c r="C75" s="16"/>
      <c r="D75" s="604">
        <v>15</v>
      </c>
    </row>
    <row r="76" spans="3:4" ht="12.75" customHeight="1" x14ac:dyDescent="0.2">
      <c r="C76" s="16"/>
      <c r="D76" s="604">
        <v>16</v>
      </c>
    </row>
    <row r="77" spans="3:4" ht="12.75" customHeight="1" x14ac:dyDescent="0.2">
      <c r="C77" s="16"/>
      <c r="D77" s="604">
        <v>17</v>
      </c>
    </row>
    <row r="78" spans="3:4" ht="12.75" customHeight="1" x14ac:dyDescent="0.2">
      <c r="C78" s="16"/>
      <c r="D78" s="604" t="s">
        <v>116</v>
      </c>
    </row>
    <row r="79" spans="3:4" ht="12.75" customHeight="1" x14ac:dyDescent="0.2">
      <c r="C79" s="16"/>
      <c r="D79" s="604" t="s">
        <v>117</v>
      </c>
    </row>
    <row r="80" spans="3:4" ht="12.75" customHeight="1" x14ac:dyDescent="0.2">
      <c r="C80" s="16"/>
      <c r="D80" s="604" t="s">
        <v>118</v>
      </c>
    </row>
    <row r="81" spans="3:6" ht="12.75" customHeight="1" x14ac:dyDescent="0.2">
      <c r="C81" s="16"/>
      <c r="D81" s="604" t="s">
        <v>370</v>
      </c>
    </row>
    <row r="82" spans="3:6" ht="12.75" customHeight="1" x14ac:dyDescent="0.2">
      <c r="C82" s="16"/>
      <c r="D82" s="17"/>
    </row>
    <row r="83" spans="3:6" ht="12.75" customHeight="1" x14ac:dyDescent="0.2">
      <c r="C83" s="16"/>
      <c r="D83" s="17"/>
    </row>
    <row r="84" spans="3:6" ht="12.75" customHeight="1" x14ac:dyDescent="0.2">
      <c r="C84" s="16"/>
      <c r="D84" s="9"/>
    </row>
    <row r="85" spans="3:6" ht="12.75" customHeight="1" x14ac:dyDescent="0.2">
      <c r="C85" s="16"/>
      <c r="D85" s="9"/>
    </row>
    <row r="86" spans="3:6" ht="12.75" customHeight="1" x14ac:dyDescent="0.2">
      <c r="C86" s="16"/>
      <c r="D86" s="9"/>
    </row>
    <row r="87" spans="3:6" ht="12.75" customHeight="1" x14ac:dyDescent="0.2">
      <c r="C87" s="16"/>
      <c r="D87" s="9"/>
    </row>
    <row r="88" spans="3:6" ht="12.75" customHeight="1" x14ac:dyDescent="0.2">
      <c r="C88" s="16"/>
      <c r="D88" s="9"/>
    </row>
    <row r="89" spans="3:6" ht="12.75" customHeight="1" x14ac:dyDescent="0.2">
      <c r="C89" s="16"/>
      <c r="D89" s="9"/>
    </row>
    <row r="90" spans="3:6" ht="12.75" customHeight="1" x14ac:dyDescent="0.2">
      <c r="C90" s="16"/>
      <c r="D90" s="9"/>
    </row>
    <row r="91" spans="3:6" ht="12.75" customHeight="1" x14ac:dyDescent="0.2">
      <c r="C91" s="16"/>
      <c r="D91" s="9"/>
    </row>
    <row r="92" spans="3:6" ht="12.75" customHeight="1" x14ac:dyDescent="0.2">
      <c r="D92" s="9"/>
    </row>
    <row r="93" spans="3:6" ht="12.75" customHeight="1" x14ac:dyDescent="0.2">
      <c r="D93" s="9"/>
    </row>
    <row r="94" spans="3:6" ht="12.75" customHeight="1" x14ac:dyDescent="0.2">
      <c r="D94" s="9"/>
    </row>
    <row r="95" spans="3:6" ht="12.75" customHeight="1" x14ac:dyDescent="0.2">
      <c r="D95" s="9"/>
    </row>
    <row r="96" spans="3:6" ht="12.75" customHeight="1" x14ac:dyDescent="0.2">
      <c r="D96" s="9"/>
      <c r="E96" s="16"/>
      <c r="F96" s="832"/>
    </row>
    <row r="97" spans="3:10" ht="12.75" customHeight="1" x14ac:dyDescent="0.2">
      <c r="D97" s="9"/>
    </row>
    <row r="98" spans="3:10" ht="12.75" customHeight="1" x14ac:dyDescent="0.2"/>
    <row r="99" spans="3:10" ht="12.75" customHeight="1" x14ac:dyDescent="0.2"/>
    <row r="100" spans="3:10" s="7" customFormat="1" ht="12.75" customHeight="1" x14ac:dyDescent="0.2">
      <c r="C100" s="6"/>
    </row>
    <row r="101" spans="3:10" ht="12.75" customHeight="1" x14ac:dyDescent="0.2">
      <c r="C101" s="7"/>
    </row>
    <row r="102" spans="3:10" ht="12.75" customHeight="1" x14ac:dyDescent="0.2"/>
    <row r="103" spans="3:10" ht="12.75" customHeight="1" x14ac:dyDescent="0.2"/>
    <row r="104" spans="3:10" ht="12.75" customHeight="1" x14ac:dyDescent="0.2"/>
    <row r="105" spans="3:10" s="7" customFormat="1" ht="12.75" customHeight="1" x14ac:dyDescent="0.2">
      <c r="C105" s="6"/>
    </row>
    <row r="106" spans="3:10" ht="12.75" customHeight="1" x14ac:dyDescent="0.2">
      <c r="C106" s="7"/>
    </row>
    <row r="107" spans="3:10" ht="12.75" customHeight="1" x14ac:dyDescent="0.2"/>
    <row r="108" spans="3:10" ht="12.75" customHeight="1" x14ac:dyDescent="0.2">
      <c r="D108" s="7"/>
      <c r="E108" s="7"/>
      <c r="F108" s="7"/>
      <c r="G108" s="7"/>
      <c r="H108" s="7"/>
      <c r="I108" s="7"/>
      <c r="J108" s="7"/>
    </row>
    <row r="109" spans="3:10" ht="12.75" customHeight="1" x14ac:dyDescent="0.2">
      <c r="D109" s="7"/>
      <c r="E109" s="7"/>
      <c r="F109" s="7"/>
      <c r="G109" s="7"/>
      <c r="H109" s="7"/>
      <c r="I109" s="7"/>
      <c r="J109" s="7"/>
    </row>
    <row r="110" spans="3:10" s="7" customFormat="1" ht="12.75" customHeight="1" x14ac:dyDescent="0.2">
      <c r="C110" s="6"/>
    </row>
    <row r="111" spans="3:10" ht="12.75" customHeight="1" x14ac:dyDescent="0.2">
      <c r="C111" s="7"/>
    </row>
    <row r="112" spans="3:10"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sheetData>
  <sheetProtection algorithmName="SHA-512" hashValue="0TgDZ3MdCLsRXGyk/Ck5QOjzHFTRGqYjO9kKGT+2mWa8aDNquYUi93mKda1uZB4P0G8p/2VjzRcJF4jqykzMkA==" saltValue="aKOTISLpBcgsPFqw4AkYDg==" spinCount="100000" sheet="1" objects="1" scenarios="1"/>
  <phoneticPr fontId="5" type="noConversion"/>
  <dataValidations count="1">
    <dataValidation type="list" allowBlank="1" showInputMessage="1" showErrorMessage="1" sqref="F15:J15 F37:J37 F27:J27 F19:J19" xr:uid="{00000000-0002-0000-1400-000000000000}">
      <formula1>$D$56:$D$82</formula1>
    </dataValidation>
  </dataValidations>
  <hyperlinks>
    <hyperlink ref="K46" r:id="rId1" xr:uid="{00000000-0004-0000-1400-000000000000}"/>
  </hyperlinks>
  <pageMargins left="0.75" right="0.75" top="1" bottom="1" header="0.5" footer="0.5"/>
  <pageSetup paperSize="9" scale="79" orientation="landscape" r:id="rId2"/>
  <headerFooter alignWithMargins="0">
    <oddHeader>&amp;L&amp;"Arial,Vet"&amp;F&amp;R&amp;"Arial,Vet"&amp;A</oddHeader>
    <oddFooter>&amp;L&amp;"Arial,Vet"keizer&amp;C&amp;"Arial,Vet"pagina &amp;P&amp;R&amp;"Arial,Vet"&amp;D</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L352"/>
  <sheetViews>
    <sheetView zoomScale="82" zoomScaleNormal="82" zoomScaleSheetLayoutView="80" workbookViewId="0">
      <selection activeCell="B2" sqref="B2"/>
    </sheetView>
  </sheetViews>
  <sheetFormatPr defaultRowHeight="12.75" x14ac:dyDescent="0.2"/>
  <cols>
    <col min="1" max="1" width="2.28515625" style="109" customWidth="1"/>
    <col min="2" max="2" width="2.7109375" style="109" customWidth="1"/>
    <col min="3" max="3" width="4.5703125" style="110" customWidth="1"/>
    <col min="4" max="4" width="27.7109375" style="110" customWidth="1"/>
    <col min="5" max="6" width="7.7109375" style="111" customWidth="1"/>
    <col min="7" max="7" width="2.28515625" style="112" hidden="1" customWidth="1"/>
    <col min="8" max="13" width="8.7109375" style="112" customWidth="1"/>
    <col min="14" max="14" width="1.7109375" style="112" customWidth="1"/>
    <col min="15" max="15" width="2.42578125" style="109" hidden="1" customWidth="1"/>
    <col min="16" max="20" width="12.7109375" style="109" customWidth="1"/>
    <col min="21" max="21" width="12.7109375" style="109" hidden="1" customWidth="1"/>
    <col min="22" max="22" width="3" style="109" customWidth="1"/>
    <col min="23" max="23" width="2.85546875" style="109" customWidth="1"/>
    <col min="24" max="24" width="2.85546875" style="112" hidden="1" customWidth="1"/>
    <col min="25" max="26" width="12.7109375" style="112" customWidth="1"/>
    <col min="27" max="27" width="12.7109375" style="109" customWidth="1"/>
    <col min="28" max="29" width="14.140625" style="109" customWidth="1"/>
    <col min="30" max="30" width="14.140625" style="109" hidden="1" customWidth="1"/>
    <col min="31" max="31" width="2.7109375" style="109" customWidth="1"/>
    <col min="32" max="32" width="3" style="109" customWidth="1"/>
    <col min="33" max="33" width="2.7109375" style="109" customWidth="1"/>
    <col min="34" max="34" width="2.7109375" style="1004" customWidth="1"/>
    <col min="35" max="37" width="12.7109375" style="1004" customWidth="1"/>
    <col min="38" max="39" width="12.85546875" style="1004" customWidth="1"/>
    <col min="40" max="43" width="12.7109375" style="1004" customWidth="1"/>
    <col min="44" max="45" width="2.7109375" style="1004" customWidth="1"/>
    <col min="46" max="46" width="12.7109375" style="1004" customWidth="1"/>
    <col min="47" max="47" width="12.85546875" style="1004" customWidth="1"/>
    <col min="48" max="54" width="12.7109375" style="1004" customWidth="1"/>
    <col min="55" max="55" width="2.85546875" style="1004" customWidth="1"/>
    <col min="56" max="56" width="12.7109375" style="1004" customWidth="1"/>
    <col min="57" max="58" width="12.85546875" style="109" customWidth="1"/>
    <col min="59" max="16384" width="9.140625" style="109"/>
  </cols>
  <sheetData>
    <row r="2" spans="2:56" x14ac:dyDescent="0.2">
      <c r="B2" s="651"/>
      <c r="C2" s="979"/>
      <c r="D2" s="979"/>
      <c r="E2" s="630"/>
      <c r="F2" s="630"/>
      <c r="G2" s="980"/>
      <c r="H2" s="980"/>
      <c r="I2" s="980"/>
      <c r="J2" s="980"/>
      <c r="K2" s="980"/>
      <c r="L2" s="980"/>
      <c r="M2" s="980"/>
      <c r="N2" s="980"/>
      <c r="O2" s="629"/>
      <c r="P2" s="629"/>
      <c r="Q2" s="629"/>
      <c r="R2" s="629"/>
      <c r="S2" s="629"/>
      <c r="T2" s="629"/>
      <c r="U2" s="629"/>
      <c r="V2" s="629"/>
      <c r="W2" s="633"/>
      <c r="X2" s="792"/>
      <c r="Y2" s="682"/>
      <c r="Z2" s="682"/>
      <c r="AA2" s="682"/>
      <c r="AB2" s="682"/>
      <c r="AC2" s="682"/>
      <c r="AD2" s="682"/>
      <c r="AE2" s="682"/>
      <c r="AF2" s="1004"/>
      <c r="AG2" s="1004"/>
      <c r="BC2" s="682"/>
      <c r="BD2" s="109"/>
    </row>
    <row r="3" spans="2:56" x14ac:dyDescent="0.2">
      <c r="B3" s="846"/>
      <c r="C3" s="942"/>
      <c r="D3" s="942"/>
      <c r="E3" s="683"/>
      <c r="F3" s="683"/>
      <c r="G3" s="792"/>
      <c r="H3" s="792"/>
      <c r="I3" s="792"/>
      <c r="J3" s="792"/>
      <c r="K3" s="792"/>
      <c r="L3" s="792"/>
      <c r="M3" s="792"/>
      <c r="N3" s="792"/>
      <c r="O3" s="682"/>
      <c r="P3" s="682"/>
      <c r="Q3" s="682"/>
      <c r="R3" s="682"/>
      <c r="S3" s="682"/>
      <c r="T3" s="682"/>
      <c r="U3" s="682"/>
      <c r="V3" s="682"/>
      <c r="W3" s="847"/>
      <c r="X3" s="792"/>
      <c r="Y3" s="682"/>
      <c r="Z3" s="682"/>
      <c r="AA3" s="682"/>
      <c r="AB3" s="682"/>
      <c r="AC3" s="682"/>
      <c r="AD3" s="682"/>
      <c r="AE3" s="682"/>
      <c r="AF3" s="1004"/>
      <c r="AG3" s="1004"/>
      <c r="BC3" s="682"/>
      <c r="BD3" s="109"/>
    </row>
    <row r="4" spans="2:56" ht="18.75" x14ac:dyDescent="0.3">
      <c r="B4" s="846"/>
      <c r="C4" s="942"/>
      <c r="D4" s="1009" t="str">
        <f>'geg ll'!C5</f>
        <v>Voorbeeld SWV VO Alkmaar</v>
      </c>
      <c r="E4" s="683"/>
      <c r="F4" s="683"/>
      <c r="G4" s="792"/>
      <c r="H4" s="792"/>
      <c r="I4" s="792"/>
      <c r="J4" s="792"/>
      <c r="K4" s="792"/>
      <c r="L4" s="792"/>
      <c r="M4" s="792"/>
      <c r="N4" s="792"/>
      <c r="O4" s="682"/>
      <c r="P4" s="682"/>
      <c r="Q4" s="682"/>
      <c r="R4" s="682"/>
      <c r="S4" s="682"/>
      <c r="T4" s="682"/>
      <c r="U4" s="682"/>
      <c r="V4" s="682"/>
      <c r="W4" s="847"/>
      <c r="X4" s="792"/>
      <c r="Y4" s="682"/>
      <c r="Z4" s="682"/>
      <c r="AA4" s="682"/>
      <c r="AB4" s="682"/>
      <c r="AC4" s="682"/>
      <c r="AD4" s="682"/>
      <c r="AE4" s="682"/>
      <c r="AF4" s="1004"/>
      <c r="AG4" s="1004"/>
      <c r="BC4" s="682"/>
      <c r="BD4" s="109"/>
    </row>
    <row r="5" spans="2:56" x14ac:dyDescent="0.2">
      <c r="B5" s="846"/>
      <c r="C5" s="942"/>
      <c r="D5" s="942"/>
      <c r="E5" s="683"/>
      <c r="F5" s="683"/>
      <c r="G5" s="792"/>
      <c r="H5" s="792"/>
      <c r="I5" s="792"/>
      <c r="J5" s="792"/>
      <c r="K5" s="792"/>
      <c r="L5" s="792"/>
      <c r="M5" s="792"/>
      <c r="N5" s="792"/>
      <c r="O5" s="682"/>
      <c r="P5" s="682"/>
      <c r="Q5" s="682"/>
      <c r="R5" s="682"/>
      <c r="S5" s="682"/>
      <c r="T5" s="682"/>
      <c r="U5" s="682"/>
      <c r="V5" s="682"/>
      <c r="W5" s="847"/>
      <c r="X5" s="792"/>
      <c r="Y5" s="682"/>
      <c r="Z5" s="682"/>
      <c r="AA5" s="682"/>
      <c r="AB5" s="682"/>
      <c r="AC5" s="682"/>
      <c r="AD5" s="682"/>
      <c r="AE5" s="682"/>
      <c r="AF5" s="1004"/>
      <c r="AG5" s="1004"/>
      <c r="BC5" s="682"/>
      <c r="BD5" s="109"/>
    </row>
    <row r="6" spans="2:56" ht="18.75" x14ac:dyDescent="0.3">
      <c r="B6" s="846"/>
      <c r="C6" s="942"/>
      <c r="D6" s="1009" t="s">
        <v>588</v>
      </c>
      <c r="E6" s="683"/>
      <c r="F6" s="683"/>
      <c r="G6" s="792"/>
      <c r="H6" s="792"/>
      <c r="I6" s="792"/>
      <c r="J6" s="792"/>
      <c r="K6" s="792"/>
      <c r="L6" s="792"/>
      <c r="M6" s="792"/>
      <c r="N6" s="792"/>
      <c r="O6" s="682"/>
      <c r="P6" s="682"/>
      <c r="Q6" s="682"/>
      <c r="R6" s="682"/>
      <c r="S6" s="682"/>
      <c r="T6" s="682"/>
      <c r="U6" s="682"/>
      <c r="V6" s="682"/>
      <c r="W6" s="847"/>
      <c r="X6" s="792"/>
      <c r="Y6" s="682"/>
      <c r="Z6" s="682"/>
      <c r="AA6" s="682"/>
      <c r="AB6" s="682"/>
      <c r="AC6" s="682"/>
      <c r="AD6" s="682"/>
      <c r="AE6" s="682"/>
      <c r="AF6" s="1004"/>
      <c r="AG6" s="1004"/>
      <c r="BC6" s="682"/>
      <c r="BD6" s="109"/>
    </row>
    <row r="7" spans="2:56" x14ac:dyDescent="0.2">
      <c r="B7" s="846"/>
      <c r="C7" s="942"/>
      <c r="D7" s="942"/>
      <c r="E7" s="683"/>
      <c r="F7" s="683"/>
      <c r="G7" s="792"/>
      <c r="H7" s="792"/>
      <c r="I7" s="792"/>
      <c r="J7" s="792"/>
      <c r="K7" s="792"/>
      <c r="L7" s="792"/>
      <c r="M7" s="792"/>
      <c r="N7" s="792"/>
      <c r="O7" s="682"/>
      <c r="P7" s="682"/>
      <c r="Q7" s="682"/>
      <c r="R7" s="682"/>
      <c r="S7" s="682"/>
      <c r="T7" s="682"/>
      <c r="U7" s="682"/>
      <c r="V7" s="682"/>
      <c r="W7" s="847"/>
      <c r="X7" s="792"/>
      <c r="Y7" s="682"/>
      <c r="Z7" s="682"/>
      <c r="AA7" s="682"/>
      <c r="AB7" s="682"/>
      <c r="AC7" s="682"/>
      <c r="AD7" s="682"/>
      <c r="AE7" s="682"/>
      <c r="AF7" s="1004"/>
      <c r="AG7" s="1004"/>
      <c r="BC7" s="682"/>
      <c r="BD7" s="109"/>
    </row>
    <row r="8" spans="2:56" x14ac:dyDescent="0.2">
      <c r="B8" s="846"/>
      <c r="C8" s="942"/>
      <c r="D8" s="1010" t="s">
        <v>345</v>
      </c>
      <c r="E8" s="1011"/>
      <c r="F8" s="1011"/>
      <c r="G8" s="1012"/>
      <c r="H8" s="1012"/>
      <c r="I8" s="1012"/>
      <c r="J8" s="1012"/>
      <c r="K8" s="1012"/>
      <c r="L8" s="1012"/>
      <c r="M8" s="1012"/>
      <c r="N8" s="1012"/>
      <c r="O8" s="1015">
        <f t="shared" ref="O8:T8" si="0">+O50</f>
        <v>2019</v>
      </c>
      <c r="P8" s="1015">
        <f t="shared" si="0"/>
        <v>2020</v>
      </c>
      <c r="Q8" s="1015">
        <f t="shared" si="0"/>
        <v>2021</v>
      </c>
      <c r="R8" s="1015">
        <f t="shared" si="0"/>
        <v>2022</v>
      </c>
      <c r="S8" s="1015">
        <f t="shared" si="0"/>
        <v>2023</v>
      </c>
      <c r="T8" s="1015">
        <f t="shared" si="0"/>
        <v>2024</v>
      </c>
      <c r="U8" s="1015">
        <f>+U50</f>
        <v>2025</v>
      </c>
      <c r="V8" s="682"/>
      <c r="W8" s="987"/>
      <c r="X8" s="682"/>
      <c r="Y8" s="682"/>
      <c r="Z8" s="682"/>
      <c r="AA8" s="682"/>
      <c r="AB8" s="682"/>
      <c r="AC8" s="682"/>
      <c r="AD8" s="682"/>
      <c r="AE8" s="1004"/>
      <c r="AF8" s="1004"/>
      <c r="AG8" s="1004"/>
      <c r="BB8" s="682"/>
      <c r="BC8" s="109"/>
      <c r="BD8" s="109"/>
    </row>
    <row r="9" spans="2:56" x14ac:dyDescent="0.2">
      <c r="B9" s="846"/>
      <c r="C9" s="942"/>
      <c r="D9" s="1010"/>
      <c r="E9" s="1011"/>
      <c r="F9" s="1011"/>
      <c r="G9" s="1012"/>
      <c r="H9" s="1012"/>
      <c r="I9" s="1012"/>
      <c r="J9" s="1012"/>
      <c r="K9" s="1012"/>
      <c r="L9" s="1012"/>
      <c r="M9" s="1012"/>
      <c r="N9" s="1012"/>
      <c r="O9" s="1014"/>
      <c r="P9" s="1014"/>
      <c r="Q9" s="1014"/>
      <c r="R9" s="1014"/>
      <c r="S9" s="1014"/>
      <c r="T9" s="1014"/>
      <c r="U9" s="1014"/>
      <c r="V9" s="682"/>
      <c r="W9" s="987"/>
      <c r="X9" s="682"/>
      <c r="Y9" s="682"/>
      <c r="Z9" s="682"/>
      <c r="AA9" s="682"/>
      <c r="AB9" s="682"/>
      <c r="AC9" s="682"/>
      <c r="AD9" s="682"/>
      <c r="AE9" s="1004"/>
      <c r="AF9" s="1004"/>
      <c r="AG9" s="1004"/>
      <c r="BB9" s="682"/>
      <c r="BC9" s="109"/>
      <c r="BD9" s="109"/>
    </row>
    <row r="10" spans="2:56" x14ac:dyDescent="0.2">
      <c r="B10" s="846"/>
      <c r="C10" s="942"/>
      <c r="D10" s="1013" t="s">
        <v>722</v>
      </c>
      <c r="E10" s="1011"/>
      <c r="F10" s="1011"/>
      <c r="G10" s="1012"/>
      <c r="H10" s="1012"/>
      <c r="I10" s="1012"/>
      <c r="J10" s="1012"/>
      <c r="K10" s="1012"/>
      <c r="L10" s="1012"/>
      <c r="M10" s="1012"/>
      <c r="N10" s="1012"/>
      <c r="O10" s="986">
        <f>+pers!H17</f>
        <v>0</v>
      </c>
      <c r="P10" s="986">
        <f>+pers!I17</f>
        <v>8182456.1104895156</v>
      </c>
      <c r="Q10" s="986">
        <f>+pers!J17</f>
        <v>8160239.2393570794</v>
      </c>
      <c r="R10" s="986">
        <f>+pers!K17</f>
        <v>8390366.2771718726</v>
      </c>
      <c r="S10" s="986">
        <f>+pers!L17</f>
        <v>8390366.2771718726</v>
      </c>
      <c r="T10" s="986">
        <f>+pers!M17</f>
        <v>8390366.2771718726</v>
      </c>
      <c r="U10" s="986">
        <f>+pers!N17</f>
        <v>8390366.2771718726</v>
      </c>
      <c r="V10" s="682"/>
      <c r="W10" s="987"/>
      <c r="X10" s="682"/>
      <c r="Y10" s="682"/>
      <c r="Z10" s="682"/>
      <c r="AA10" s="682"/>
      <c r="AB10" s="682"/>
      <c r="AC10" s="682"/>
      <c r="AD10" s="682"/>
      <c r="AE10" s="1004"/>
      <c r="AF10" s="1004"/>
      <c r="AG10" s="1004"/>
      <c r="BB10" s="682"/>
      <c r="BC10" s="109"/>
      <c r="BD10" s="109"/>
    </row>
    <row r="11" spans="2:56" x14ac:dyDescent="0.2">
      <c r="B11" s="846"/>
      <c r="C11" s="942"/>
      <c r="D11" s="1013" t="s">
        <v>723</v>
      </c>
      <c r="E11" s="1011"/>
      <c r="F11" s="1011"/>
      <c r="G11" s="1012"/>
      <c r="H11" s="1012"/>
      <c r="I11" s="1012"/>
      <c r="J11" s="1012"/>
      <c r="K11" s="1012"/>
      <c r="L11" s="1012"/>
      <c r="M11" s="1012"/>
      <c r="N11" s="1012"/>
      <c r="O11" s="986">
        <f t="shared" ref="O11:T11" si="1">+O52</f>
        <v>1534030.1600000001</v>
      </c>
      <c r="P11" s="986">
        <f t="shared" si="1"/>
        <v>124862.92000000001</v>
      </c>
      <c r="Q11" s="986">
        <f t="shared" si="1"/>
        <v>0</v>
      </c>
      <c r="R11" s="986">
        <f t="shared" si="1"/>
        <v>0</v>
      </c>
      <c r="S11" s="986">
        <f t="shared" si="1"/>
        <v>0</v>
      </c>
      <c r="T11" s="986">
        <f t="shared" si="1"/>
        <v>0</v>
      </c>
      <c r="U11" s="986">
        <f>+U52</f>
        <v>0</v>
      </c>
      <c r="V11" s="682"/>
      <c r="W11" s="987"/>
      <c r="X11" s="682"/>
      <c r="Y11" s="682"/>
      <c r="Z11" s="682"/>
      <c r="AA11" s="682"/>
      <c r="AB11" s="682"/>
      <c r="AC11" s="682"/>
      <c r="AD11" s="682"/>
      <c r="AE11" s="1004"/>
      <c r="AF11" s="1004"/>
      <c r="AG11" s="1004"/>
      <c r="BB11" s="682"/>
      <c r="BC11" s="109"/>
      <c r="BD11" s="109"/>
    </row>
    <row r="12" spans="2:56" x14ac:dyDescent="0.2">
      <c r="B12" s="846"/>
      <c r="C12" s="942"/>
      <c r="D12" s="1013"/>
      <c r="E12" s="1011"/>
      <c r="F12" s="1011"/>
      <c r="G12" s="1012"/>
      <c r="H12" s="1012"/>
      <c r="I12" s="1012"/>
      <c r="J12" s="1012"/>
      <c r="K12" s="1327" t="s">
        <v>771</v>
      </c>
      <c r="L12" s="1012"/>
      <c r="M12" s="1012"/>
      <c r="N12" s="1012"/>
      <c r="O12" s="988">
        <f t="shared" ref="O12:T12" si="2">O10-O11</f>
        <v>-1534030.1600000001</v>
      </c>
      <c r="P12" s="988">
        <f t="shared" si="2"/>
        <v>8057593.1904895157</v>
      </c>
      <c r="Q12" s="988">
        <f t="shared" si="2"/>
        <v>8160239.2393570794</v>
      </c>
      <c r="R12" s="988">
        <f t="shared" si="2"/>
        <v>8390366.2771718726</v>
      </c>
      <c r="S12" s="988">
        <f t="shared" si="2"/>
        <v>8390366.2771718726</v>
      </c>
      <c r="T12" s="988">
        <f t="shared" si="2"/>
        <v>8390366.2771718726</v>
      </c>
      <c r="U12" s="988">
        <f>U10-U11</f>
        <v>8390366.2771718726</v>
      </c>
      <c r="V12" s="682"/>
      <c r="W12" s="987"/>
      <c r="X12" s="682"/>
      <c r="Y12" s="682"/>
      <c r="Z12" s="682"/>
      <c r="AA12" s="682"/>
      <c r="AB12" s="682"/>
      <c r="AC12" s="682"/>
      <c r="AD12" s="682"/>
      <c r="AE12" s="1004"/>
      <c r="AF12" s="1004"/>
      <c r="AG12" s="1004"/>
      <c r="BB12" s="682"/>
      <c r="BC12" s="109"/>
      <c r="BD12" s="109"/>
    </row>
    <row r="13" spans="2:56" x14ac:dyDescent="0.2">
      <c r="B13" s="846"/>
      <c r="C13" s="942"/>
      <c r="D13" s="1013" t="s">
        <v>724</v>
      </c>
      <c r="E13" s="1011"/>
      <c r="F13" s="1011"/>
      <c r="G13" s="1012"/>
      <c r="H13" s="1012"/>
      <c r="I13" s="1012"/>
      <c r="J13" s="1012"/>
      <c r="K13" s="1012"/>
      <c r="L13" s="1012"/>
      <c r="M13" s="1012"/>
      <c r="N13" s="1012"/>
      <c r="O13" s="988">
        <f>+pers!H18</f>
        <v>0</v>
      </c>
      <c r="P13" s="988">
        <f>+pers!I18</f>
        <v>-132685.06352733969</v>
      </c>
      <c r="Q13" s="988">
        <f>+pers!J18</f>
        <v>-339818.20362247742</v>
      </c>
      <c r="R13" s="988">
        <f>+pers!K18</f>
        <v>-339818.20362247742</v>
      </c>
      <c r="S13" s="988">
        <f>+pers!L18</f>
        <v>-339818.20362247742</v>
      </c>
      <c r="T13" s="988">
        <f>+pers!M18</f>
        <v>-339818.20362247742</v>
      </c>
      <c r="U13" s="988">
        <f>+pers!N18</f>
        <v>-339818.20362247742</v>
      </c>
      <c r="V13" s="682"/>
      <c r="W13" s="987"/>
      <c r="X13" s="682"/>
      <c r="Y13" s="682"/>
      <c r="Z13" s="682"/>
      <c r="AA13" s="682"/>
      <c r="AB13" s="682"/>
      <c r="AC13" s="682"/>
      <c r="AD13" s="682"/>
      <c r="AE13" s="1004"/>
      <c r="AF13" s="1004"/>
      <c r="AG13" s="1004"/>
      <c r="BB13" s="682"/>
      <c r="BC13" s="109"/>
      <c r="BD13" s="109"/>
    </row>
    <row r="14" spans="2:56" x14ac:dyDescent="0.2">
      <c r="B14" s="846"/>
      <c r="C14" s="942"/>
      <c r="D14" s="1013" t="s">
        <v>725</v>
      </c>
      <c r="E14" s="1011"/>
      <c r="F14" s="1011"/>
      <c r="G14" s="1012"/>
      <c r="H14" s="1012"/>
      <c r="I14" s="1012"/>
      <c r="J14" s="1012"/>
      <c r="K14" s="1012"/>
      <c r="L14" s="1012"/>
      <c r="M14" s="1012"/>
      <c r="N14" s="1012"/>
      <c r="O14" s="986">
        <f t="shared" ref="O14:T14" si="3">+O53</f>
        <v>1913078.31</v>
      </c>
      <c r="P14" s="986">
        <f t="shared" si="3"/>
        <v>1881862.58</v>
      </c>
      <c r="Q14" s="986">
        <f t="shared" si="3"/>
        <v>2135361.3600000003</v>
      </c>
      <c r="R14" s="986">
        <f t="shared" si="3"/>
        <v>2195580.7199999997</v>
      </c>
      <c r="S14" s="986">
        <f t="shared" si="3"/>
        <v>2195580.7199999997</v>
      </c>
      <c r="T14" s="986">
        <f t="shared" si="3"/>
        <v>2195580.7199999997</v>
      </c>
      <c r="U14" s="986">
        <f>+U53</f>
        <v>2195580.7199999997</v>
      </c>
      <c r="V14" s="682"/>
      <c r="W14" s="987"/>
      <c r="X14" s="682"/>
      <c r="Y14" s="682"/>
      <c r="Z14" s="682"/>
      <c r="AA14" s="682"/>
      <c r="AB14" s="682"/>
      <c r="AC14" s="682"/>
      <c r="AD14" s="682"/>
      <c r="AE14" s="1004"/>
      <c r="AF14" s="1004"/>
      <c r="AG14" s="1004"/>
      <c r="BB14" s="682"/>
      <c r="BC14" s="109"/>
      <c r="BD14" s="109"/>
    </row>
    <row r="15" spans="2:56" x14ac:dyDescent="0.2">
      <c r="B15" s="846"/>
      <c r="C15" s="942"/>
      <c r="D15" s="942"/>
      <c r="E15" s="683"/>
      <c r="F15" s="683"/>
      <c r="G15" s="792"/>
      <c r="H15" s="792"/>
      <c r="I15" s="792"/>
      <c r="J15" s="792"/>
      <c r="K15" s="1327" t="s">
        <v>772</v>
      </c>
      <c r="L15" s="792"/>
      <c r="M15" s="792"/>
      <c r="N15" s="792"/>
      <c r="O15" s="988">
        <f t="shared" ref="O15:T15" si="4">O13-O14</f>
        <v>-1913078.31</v>
      </c>
      <c r="P15" s="988">
        <f t="shared" si="4"/>
        <v>-2014547.6435273397</v>
      </c>
      <c r="Q15" s="988">
        <f t="shared" si="4"/>
        <v>-2475179.5636224779</v>
      </c>
      <c r="R15" s="988">
        <f t="shared" si="4"/>
        <v>-2535398.9236224773</v>
      </c>
      <c r="S15" s="988">
        <f t="shared" si="4"/>
        <v>-2535398.9236224773</v>
      </c>
      <c r="T15" s="988">
        <f t="shared" si="4"/>
        <v>-2535398.9236224773</v>
      </c>
      <c r="U15" s="988">
        <f>U13-U14</f>
        <v>-2535398.9236224773</v>
      </c>
      <c r="V15" s="682"/>
      <c r="W15" s="987"/>
      <c r="X15" s="682"/>
      <c r="Y15" s="682"/>
      <c r="Z15" s="682"/>
      <c r="AA15" s="682"/>
      <c r="AB15" s="682"/>
      <c r="AC15" s="682"/>
      <c r="AD15" s="682"/>
      <c r="AE15" s="1004"/>
      <c r="AF15" s="1004"/>
      <c r="AG15" s="1004"/>
      <c r="BB15" s="682"/>
      <c r="BC15" s="109"/>
      <c r="BD15" s="109"/>
    </row>
    <row r="16" spans="2:56" x14ac:dyDescent="0.2">
      <c r="B16" s="846"/>
      <c r="C16" s="942"/>
      <c r="D16" s="942"/>
      <c r="E16" s="683"/>
      <c r="F16" s="683"/>
      <c r="G16" s="792"/>
      <c r="H16" s="792"/>
      <c r="I16" s="792"/>
      <c r="J16" s="792"/>
      <c r="K16" s="792"/>
      <c r="L16" s="792"/>
      <c r="M16" s="792"/>
      <c r="N16" s="792"/>
      <c r="O16" s="682"/>
      <c r="P16" s="682"/>
      <c r="Q16" s="682"/>
      <c r="R16" s="682"/>
      <c r="S16" s="682"/>
      <c r="T16" s="682"/>
      <c r="U16" s="682"/>
      <c r="V16" s="682"/>
      <c r="W16" s="987"/>
      <c r="X16" s="682"/>
      <c r="Y16" s="682"/>
      <c r="Z16" s="682"/>
      <c r="AA16" s="682"/>
      <c r="AB16" s="682"/>
      <c r="AC16" s="682"/>
      <c r="AD16" s="682"/>
      <c r="AE16" s="1004"/>
      <c r="AF16" s="1004"/>
      <c r="AG16" s="1004"/>
      <c r="BB16" s="682"/>
      <c r="BC16" s="109"/>
      <c r="BD16" s="109"/>
    </row>
    <row r="17" spans="2:56" x14ac:dyDescent="0.2">
      <c r="B17" s="846"/>
      <c r="C17" s="942"/>
      <c r="D17" s="1013" t="s">
        <v>730</v>
      </c>
      <c r="E17" s="683"/>
      <c r="F17" s="683"/>
      <c r="G17" s="792"/>
      <c r="H17" s="792"/>
      <c r="I17" s="792"/>
      <c r="J17" s="792"/>
      <c r="K17" s="792"/>
      <c r="L17" s="792"/>
      <c r="M17" s="792"/>
      <c r="N17" s="792"/>
      <c r="O17" s="986">
        <f t="shared" ref="O17:S18" si="5">+O10+O13</f>
        <v>0</v>
      </c>
      <c r="P17" s="986">
        <f t="shared" si="5"/>
        <v>8049771.0469621755</v>
      </c>
      <c r="Q17" s="986">
        <f t="shared" si="5"/>
        <v>7820421.0357346023</v>
      </c>
      <c r="R17" s="986">
        <f t="shared" si="5"/>
        <v>8050548.0735493954</v>
      </c>
      <c r="S17" s="986">
        <f t="shared" si="5"/>
        <v>8050548.0735493954</v>
      </c>
      <c r="T17" s="986">
        <f>+T10+T13</f>
        <v>8050548.0735493954</v>
      </c>
      <c r="U17" s="986">
        <f>+U10+U13</f>
        <v>8050548.0735493954</v>
      </c>
      <c r="V17" s="682"/>
      <c r="W17" s="1038"/>
      <c r="X17" s="682"/>
      <c r="Y17" s="682"/>
      <c r="Z17" s="682"/>
      <c r="AA17" s="682"/>
      <c r="AB17" s="682"/>
      <c r="AC17" s="682"/>
      <c r="AD17" s="682"/>
      <c r="AE17" s="1004"/>
      <c r="AF17" s="1004"/>
      <c r="AG17" s="1004"/>
      <c r="BB17" s="682"/>
      <c r="BC17" s="109"/>
      <c r="BD17" s="109"/>
    </row>
    <row r="18" spans="2:56" x14ac:dyDescent="0.2">
      <c r="B18" s="846"/>
      <c r="C18" s="942"/>
      <c r="D18" s="1013" t="s">
        <v>731</v>
      </c>
      <c r="E18" s="683"/>
      <c r="F18" s="683"/>
      <c r="G18" s="792"/>
      <c r="H18" s="1040"/>
      <c r="I18" s="792"/>
      <c r="J18" s="792"/>
      <c r="K18" s="792"/>
      <c r="L18" s="792"/>
      <c r="M18" s="792"/>
      <c r="N18" s="792"/>
      <c r="O18" s="986">
        <f t="shared" si="5"/>
        <v>3447108.47</v>
      </c>
      <c r="P18" s="986">
        <f t="shared" si="5"/>
        <v>2006725.5</v>
      </c>
      <c r="Q18" s="986">
        <f t="shared" si="5"/>
        <v>2135361.3600000003</v>
      </c>
      <c r="R18" s="986">
        <f t="shared" si="5"/>
        <v>2195580.7199999997</v>
      </c>
      <c r="S18" s="986">
        <f t="shared" si="5"/>
        <v>2195580.7199999997</v>
      </c>
      <c r="T18" s="986">
        <f>+T11+T14</f>
        <v>2195580.7199999997</v>
      </c>
      <c r="U18" s="986">
        <f>+U11+U14</f>
        <v>2195580.7199999997</v>
      </c>
      <c r="V18" s="682"/>
      <c r="W18" s="1038"/>
      <c r="X18" s="682"/>
      <c r="Y18" s="682"/>
      <c r="Z18" s="682"/>
      <c r="AA18" s="682"/>
      <c r="AB18" s="682"/>
      <c r="AC18" s="682"/>
      <c r="AD18" s="682"/>
      <c r="AE18" s="1004"/>
      <c r="AF18" s="1004"/>
      <c r="AG18" s="1004"/>
      <c r="BB18" s="682"/>
      <c r="BC18" s="109"/>
      <c r="BD18" s="109"/>
    </row>
    <row r="19" spans="2:56" x14ac:dyDescent="0.2">
      <c r="B19" s="846"/>
      <c r="C19" s="942"/>
      <c r="D19" s="942" t="s">
        <v>606</v>
      </c>
      <c r="E19" s="683"/>
      <c r="F19" s="683"/>
      <c r="G19" s="792"/>
      <c r="H19" s="792"/>
      <c r="I19" s="792"/>
      <c r="J19" s="792"/>
      <c r="K19" s="792"/>
      <c r="L19" s="792"/>
      <c r="M19" s="792"/>
      <c r="N19" s="792"/>
      <c r="O19" s="1050">
        <f t="shared" ref="O19:T19" si="6">+O17-O18</f>
        <v>-3447108.47</v>
      </c>
      <c r="P19" s="1050">
        <f t="shared" si="6"/>
        <v>6043045.5469621755</v>
      </c>
      <c r="Q19" s="1050">
        <f t="shared" si="6"/>
        <v>5685059.6757346019</v>
      </c>
      <c r="R19" s="1050">
        <f t="shared" si="6"/>
        <v>5854967.3535493957</v>
      </c>
      <c r="S19" s="1050">
        <f t="shared" si="6"/>
        <v>5854967.3535493957</v>
      </c>
      <c r="T19" s="1050">
        <f t="shared" si="6"/>
        <v>5854967.3535493957</v>
      </c>
      <c r="U19" s="1050">
        <f>+U17-U18</f>
        <v>5854967.3535493957</v>
      </c>
      <c r="V19" s="682"/>
      <c r="W19" s="1038"/>
      <c r="X19" s="682"/>
      <c r="Y19" s="682"/>
      <c r="Z19" s="682"/>
      <c r="AA19" s="682"/>
      <c r="AB19" s="682"/>
      <c r="AC19" s="682"/>
      <c r="AD19" s="682"/>
      <c r="AE19" s="1004"/>
      <c r="AF19" s="1004"/>
      <c r="AG19" s="1004"/>
      <c r="BB19" s="682"/>
      <c r="BC19" s="109"/>
      <c r="BD19" s="109"/>
    </row>
    <row r="20" spans="2:56" x14ac:dyDescent="0.2">
      <c r="B20" s="846"/>
      <c r="C20" s="942"/>
      <c r="D20" s="942" t="s">
        <v>603</v>
      </c>
      <c r="E20" s="683"/>
      <c r="F20" s="683"/>
      <c r="G20" s="792"/>
      <c r="H20" s="792"/>
      <c r="I20" s="792"/>
      <c r="J20" s="792"/>
      <c r="K20" s="792"/>
      <c r="L20" s="792"/>
      <c r="M20" s="792"/>
      <c r="N20" s="792"/>
      <c r="O20" s="986">
        <f>+pers!H15</f>
        <v>0</v>
      </c>
      <c r="P20" s="986">
        <f>+pers!I15</f>
        <v>1307308.8</v>
      </c>
      <c r="Q20" s="986">
        <f>+pers!J15</f>
        <v>1319345.25</v>
      </c>
      <c r="R20" s="986">
        <f>+pers!K15</f>
        <v>1319345.25</v>
      </c>
      <c r="S20" s="986">
        <f>+pers!L15</f>
        <v>1319345.25</v>
      </c>
      <c r="T20" s="986">
        <f>+pers!M15</f>
        <v>1319345.25</v>
      </c>
      <c r="U20" s="986">
        <f>+pers!N15</f>
        <v>1319345.25</v>
      </c>
      <c r="V20" s="682"/>
      <c r="W20" s="1038"/>
      <c r="X20" s="682"/>
      <c r="Y20" s="682"/>
      <c r="Z20" s="682"/>
      <c r="AA20" s="682"/>
      <c r="AB20" s="682"/>
      <c r="AC20" s="682"/>
      <c r="AD20" s="682"/>
      <c r="AE20" s="1004"/>
      <c r="AF20" s="1004"/>
      <c r="AG20" s="1004"/>
      <c r="BB20" s="682"/>
      <c r="BC20" s="109"/>
      <c r="BD20" s="109"/>
    </row>
    <row r="21" spans="2:56" x14ac:dyDescent="0.2">
      <c r="B21" s="846"/>
      <c r="C21" s="942"/>
      <c r="D21" s="942" t="s">
        <v>604</v>
      </c>
      <c r="E21" s="683"/>
      <c r="F21" s="683"/>
      <c r="G21" s="792"/>
      <c r="H21" s="792"/>
      <c r="I21" s="792"/>
      <c r="J21" s="1039"/>
      <c r="K21" s="792"/>
      <c r="L21" s="792"/>
      <c r="M21" s="792"/>
      <c r="N21" s="792"/>
      <c r="O21" s="1051">
        <f t="shared" ref="O21:T21" si="7">IF((O20+O19)&lt;0,O20+O19,0)</f>
        <v>-3447108.47</v>
      </c>
      <c r="P21" s="1051">
        <f t="shared" si="7"/>
        <v>0</v>
      </c>
      <c r="Q21" s="1051">
        <f t="shared" si="7"/>
        <v>0</v>
      </c>
      <c r="R21" s="1051">
        <f t="shared" si="7"/>
        <v>0</v>
      </c>
      <c r="S21" s="1051">
        <f t="shared" si="7"/>
        <v>0</v>
      </c>
      <c r="T21" s="1051">
        <f t="shared" si="7"/>
        <v>0</v>
      </c>
      <c r="U21" s="1051">
        <f>IF((U20+U19)&lt;0,U20+U19,0)</f>
        <v>0</v>
      </c>
      <c r="V21" s="682"/>
      <c r="W21" s="1038"/>
      <c r="X21" s="682"/>
      <c r="Y21" s="682"/>
      <c r="Z21" s="682"/>
      <c r="AA21" s="682"/>
      <c r="AB21" s="682"/>
      <c r="AC21" s="682"/>
      <c r="AD21" s="682"/>
      <c r="AE21" s="1004"/>
      <c r="AF21" s="1004"/>
      <c r="AG21" s="1004"/>
      <c r="BB21" s="682"/>
      <c r="BC21" s="109"/>
      <c r="BD21" s="109"/>
    </row>
    <row r="22" spans="2:56" x14ac:dyDescent="0.2">
      <c r="B22" s="846"/>
      <c r="C22" s="942"/>
      <c r="D22" s="942" t="s">
        <v>605</v>
      </c>
      <c r="E22" s="683"/>
      <c r="F22" s="683"/>
      <c r="G22" s="792"/>
      <c r="H22" s="792"/>
      <c r="I22" s="792"/>
      <c r="J22" s="1039"/>
      <c r="K22" s="792"/>
      <c r="L22" s="792"/>
      <c r="M22" s="792"/>
      <c r="N22" s="792"/>
      <c r="O22" s="1052">
        <f>-O21/'geg ll'!G71</f>
        <v>206.92169217840208</v>
      </c>
      <c r="P22" s="1052">
        <f>-P21/'geg ll'!H71</f>
        <v>0</v>
      </c>
      <c r="Q22" s="1052">
        <f>-Q21/'geg ll'!I71</f>
        <v>0</v>
      </c>
      <c r="R22" s="1052">
        <f>-R21/'geg ll'!J71</f>
        <v>0</v>
      </c>
      <c r="S22" s="1052">
        <f>-S21/'geg ll'!K71</f>
        <v>0</v>
      </c>
      <c r="T22" s="1052">
        <f>-T21/'geg ll'!L71</f>
        <v>0</v>
      </c>
      <c r="U22" s="1052">
        <f>-U21/'geg ll'!M71</f>
        <v>0</v>
      </c>
      <c r="V22" s="682"/>
      <c r="W22" s="1038"/>
      <c r="X22" s="682"/>
      <c r="Y22" s="682"/>
      <c r="Z22" s="682"/>
      <c r="AA22" s="682"/>
      <c r="AB22" s="682"/>
      <c r="AC22" s="682"/>
      <c r="AD22" s="682"/>
      <c r="AE22" s="1004"/>
      <c r="AF22" s="1004"/>
      <c r="AG22" s="1004"/>
      <c r="BB22" s="682"/>
      <c r="BC22" s="109"/>
      <c r="BD22" s="109"/>
    </row>
    <row r="23" spans="2:56" x14ac:dyDescent="0.2">
      <c r="B23" s="846"/>
      <c r="C23" s="942"/>
      <c r="D23" s="942"/>
      <c r="E23" s="683"/>
      <c r="F23" s="683"/>
      <c r="G23" s="792"/>
      <c r="H23" s="792"/>
      <c r="I23" s="792"/>
      <c r="J23" s="792"/>
      <c r="K23" s="792"/>
      <c r="L23" s="792"/>
      <c r="M23" s="792"/>
      <c r="N23" s="792"/>
      <c r="O23" s="1277"/>
      <c r="P23" s="1277"/>
      <c r="Q23" s="1277"/>
      <c r="R23" s="1277"/>
      <c r="S23" s="1277"/>
      <c r="T23" s="1277"/>
      <c r="U23" s="1277"/>
      <c r="V23" s="682"/>
      <c r="W23" s="1038"/>
      <c r="X23" s="682"/>
      <c r="Y23" s="682"/>
      <c r="Z23" s="682"/>
      <c r="AA23" s="682"/>
      <c r="AB23" s="682"/>
      <c r="AC23" s="682"/>
      <c r="AD23" s="682"/>
      <c r="AE23" s="1004"/>
      <c r="AF23" s="1004"/>
      <c r="AG23" s="1004"/>
      <c r="BB23" s="682"/>
      <c r="BC23" s="109"/>
      <c r="BD23" s="109"/>
    </row>
    <row r="24" spans="2:56" x14ac:dyDescent="0.2">
      <c r="B24" s="846"/>
      <c r="C24" s="942"/>
      <c r="D24" s="835" t="s">
        <v>346</v>
      </c>
      <c r="E24" s="683"/>
      <c r="F24" s="683"/>
      <c r="G24" s="792"/>
      <c r="H24" s="792"/>
      <c r="I24" s="792"/>
      <c r="J24" s="792"/>
      <c r="K24" s="792"/>
      <c r="L24" s="792"/>
      <c r="M24" s="792"/>
      <c r="N24" s="792"/>
      <c r="O24" s="682"/>
      <c r="P24" s="682"/>
      <c r="Q24" s="682"/>
      <c r="R24" s="682"/>
      <c r="S24" s="682"/>
      <c r="T24" s="682"/>
      <c r="U24" s="682"/>
      <c r="V24" s="682"/>
      <c r="W24" s="987"/>
      <c r="X24" s="682"/>
      <c r="Y24" s="682"/>
      <c r="Z24" s="682"/>
      <c r="AA24" s="682"/>
      <c r="AB24" s="682"/>
      <c r="AC24" s="682"/>
      <c r="AD24" s="682"/>
      <c r="AE24" s="1004"/>
      <c r="AF24" s="1004"/>
      <c r="AG24" s="1004"/>
      <c r="BB24" s="682"/>
      <c r="BC24" s="109"/>
      <c r="BD24" s="109"/>
    </row>
    <row r="25" spans="2:56" x14ac:dyDescent="0.2">
      <c r="B25" s="846"/>
      <c r="C25" s="942"/>
      <c r="D25" s="1013" t="s">
        <v>726</v>
      </c>
      <c r="E25" s="683"/>
      <c r="F25" s="683"/>
      <c r="G25" s="792"/>
      <c r="H25" s="792"/>
      <c r="I25" s="792"/>
      <c r="J25" s="792"/>
      <c r="K25" s="792"/>
      <c r="L25" s="792"/>
      <c r="M25" s="792"/>
      <c r="N25" s="792"/>
      <c r="O25" s="986">
        <f>mat!J16</f>
        <v>0</v>
      </c>
      <c r="P25" s="986">
        <f>mat!K16</f>
        <v>325179.77072785329</v>
      </c>
      <c r="Q25" s="986">
        <f>mat!L16</f>
        <v>331790.00454291073</v>
      </c>
      <c r="R25" s="986">
        <f>mat!M16</f>
        <v>331790.00454291073</v>
      </c>
      <c r="S25" s="986">
        <f>mat!N16</f>
        <v>331790.00454291073</v>
      </c>
      <c r="T25" s="986">
        <f>mat!O16</f>
        <v>331790.00454291073</v>
      </c>
      <c r="U25" s="986" t="e">
        <f>mat!#REF!</f>
        <v>#REF!</v>
      </c>
      <c r="V25" s="682"/>
      <c r="W25" s="987"/>
      <c r="X25" s="682"/>
      <c r="Y25" s="682"/>
      <c r="Z25" s="682"/>
      <c r="AA25" s="682"/>
      <c r="AB25" s="682"/>
      <c r="AC25" s="682"/>
      <c r="AD25" s="682"/>
      <c r="AE25" s="1004"/>
      <c r="AF25" s="1004"/>
      <c r="AG25" s="1004"/>
      <c r="BB25" s="682"/>
      <c r="BC25" s="109"/>
      <c r="BD25" s="109"/>
    </row>
    <row r="26" spans="2:56" x14ac:dyDescent="0.2">
      <c r="B26" s="846"/>
      <c r="C26" s="942"/>
      <c r="D26" s="1013" t="s">
        <v>727</v>
      </c>
      <c r="E26" s="683"/>
      <c r="F26" s="683"/>
      <c r="G26" s="792"/>
      <c r="H26" s="792"/>
      <c r="I26" s="792"/>
      <c r="J26" s="792"/>
      <c r="K26" s="792"/>
      <c r="L26" s="792"/>
      <c r="M26" s="792"/>
      <c r="N26" s="792"/>
      <c r="O26" s="986">
        <f t="shared" ref="O26:U26" si="8">X52</f>
        <v>62432.560000000005</v>
      </c>
      <c r="P26" s="986">
        <f t="shared" si="8"/>
        <v>5081.72</v>
      </c>
      <c r="Q26" s="986">
        <f t="shared" si="8"/>
        <v>0</v>
      </c>
      <c r="R26" s="986">
        <f t="shared" si="8"/>
        <v>0</v>
      </c>
      <c r="S26" s="986">
        <f t="shared" si="8"/>
        <v>0</v>
      </c>
      <c r="T26" s="986">
        <f t="shared" si="8"/>
        <v>0</v>
      </c>
      <c r="U26" s="986">
        <f t="shared" si="8"/>
        <v>0</v>
      </c>
      <c r="V26" s="682"/>
      <c r="W26" s="987"/>
      <c r="X26" s="682"/>
      <c r="Y26" s="682"/>
      <c r="Z26" s="682"/>
      <c r="AA26" s="682"/>
      <c r="AB26" s="682"/>
      <c r="AC26" s="682"/>
      <c r="AD26" s="682"/>
      <c r="AE26" s="1004"/>
      <c r="AF26" s="1004"/>
      <c r="AG26" s="1004"/>
      <c r="BB26" s="682"/>
      <c r="BC26" s="109"/>
      <c r="BD26" s="109"/>
    </row>
    <row r="27" spans="2:56" x14ac:dyDescent="0.2">
      <c r="B27" s="846"/>
      <c r="C27" s="942"/>
      <c r="D27" s="1013"/>
      <c r="E27" s="683"/>
      <c r="F27" s="683"/>
      <c r="G27" s="792"/>
      <c r="H27" s="792"/>
      <c r="I27" s="792"/>
      <c r="J27" s="792"/>
      <c r="K27" s="1327" t="s">
        <v>771</v>
      </c>
      <c r="L27" s="792"/>
      <c r="M27" s="792"/>
      <c r="N27" s="792"/>
      <c r="O27" s="988">
        <f t="shared" ref="O27:T27" si="9">O25-O26</f>
        <v>-62432.560000000005</v>
      </c>
      <c r="P27" s="988">
        <f t="shared" si="9"/>
        <v>320098.05072785332</v>
      </c>
      <c r="Q27" s="988">
        <f t="shared" si="9"/>
        <v>331790.00454291073</v>
      </c>
      <c r="R27" s="988">
        <f t="shared" si="9"/>
        <v>331790.00454291073</v>
      </c>
      <c r="S27" s="988">
        <f t="shared" si="9"/>
        <v>331790.00454291073</v>
      </c>
      <c r="T27" s="988">
        <f t="shared" si="9"/>
        <v>331790.00454291073</v>
      </c>
      <c r="U27" s="988" t="e">
        <f>U25-U26</f>
        <v>#REF!</v>
      </c>
      <c r="V27" s="682"/>
      <c r="W27" s="987"/>
      <c r="X27" s="682"/>
      <c r="Y27" s="682"/>
      <c r="Z27" s="682"/>
      <c r="AA27" s="682"/>
      <c r="AB27" s="682"/>
      <c r="AC27" s="682"/>
      <c r="AD27" s="682"/>
      <c r="AE27" s="1004"/>
      <c r="AF27" s="1004"/>
      <c r="AG27" s="1004"/>
      <c r="BB27" s="682"/>
      <c r="BC27" s="109"/>
      <c r="BD27" s="109"/>
    </row>
    <row r="28" spans="2:56" x14ac:dyDescent="0.2">
      <c r="B28" s="846"/>
      <c r="C28" s="942"/>
      <c r="D28" s="1013" t="s">
        <v>728</v>
      </c>
      <c r="E28" s="683"/>
      <c r="F28" s="683"/>
      <c r="G28" s="792"/>
      <c r="H28" s="792"/>
      <c r="I28" s="792"/>
      <c r="J28" s="792"/>
      <c r="K28" s="1012"/>
      <c r="L28" s="792"/>
      <c r="M28" s="792"/>
      <c r="N28" s="792"/>
      <c r="O28" s="986">
        <f>mat!J17</f>
        <v>0</v>
      </c>
      <c r="P28" s="986">
        <f>mat!K17</f>
        <v>-5273.0497975441913</v>
      </c>
      <c r="Q28" s="986">
        <f>mat!L17</f>
        <v>-13437.826144780587</v>
      </c>
      <c r="R28" s="986">
        <f>mat!M17</f>
        <v>-13437.826144780587</v>
      </c>
      <c r="S28" s="986">
        <f>mat!N17</f>
        <v>-13437.826144780587</v>
      </c>
      <c r="T28" s="986">
        <f>mat!O17</f>
        <v>-13437.826144780587</v>
      </c>
      <c r="U28" s="986" t="e">
        <f>mat!#REF!</f>
        <v>#REF!</v>
      </c>
      <c r="V28" s="682"/>
      <c r="W28" s="987"/>
      <c r="X28" s="682"/>
      <c r="Y28" s="682"/>
      <c r="Z28" s="682"/>
      <c r="AA28" s="682"/>
      <c r="AB28" s="682"/>
      <c r="AC28" s="682"/>
      <c r="AD28" s="682"/>
      <c r="AE28" s="1004"/>
      <c r="AF28" s="1004"/>
      <c r="AG28" s="1004"/>
      <c r="BB28" s="682"/>
      <c r="BC28" s="109"/>
      <c r="BD28" s="109"/>
    </row>
    <row r="29" spans="2:56" x14ac:dyDescent="0.2">
      <c r="B29" s="846"/>
      <c r="C29" s="942"/>
      <c r="D29" s="1013" t="s">
        <v>729</v>
      </c>
      <c r="E29" s="683"/>
      <c r="F29" s="683"/>
      <c r="G29" s="792"/>
      <c r="H29" s="792"/>
      <c r="I29" s="792"/>
      <c r="J29" s="792"/>
      <c r="K29" s="1012"/>
      <c r="L29" s="792"/>
      <c r="M29" s="792"/>
      <c r="N29" s="792"/>
      <c r="O29" s="986">
        <f t="shared" ref="O29:U29" si="10">X53</f>
        <v>77859.210000000006</v>
      </c>
      <c r="P29" s="986">
        <f t="shared" si="10"/>
        <v>76588.78</v>
      </c>
      <c r="Q29" s="986">
        <f t="shared" si="10"/>
        <v>84861.599999999991</v>
      </c>
      <c r="R29" s="986">
        <f t="shared" si="10"/>
        <v>86822.400000000009</v>
      </c>
      <c r="S29" s="986">
        <f t="shared" si="10"/>
        <v>86822.400000000009</v>
      </c>
      <c r="T29" s="986">
        <f t="shared" si="10"/>
        <v>82759.44</v>
      </c>
      <c r="U29" s="986">
        <f t="shared" si="10"/>
        <v>82759.44</v>
      </c>
      <c r="V29" s="682"/>
      <c r="W29" s="987"/>
      <c r="X29" s="682"/>
      <c r="Y29" s="682"/>
      <c r="Z29" s="682"/>
      <c r="AA29" s="682"/>
      <c r="AB29" s="682"/>
      <c r="AC29" s="682"/>
      <c r="AD29" s="682"/>
      <c r="AE29" s="1004"/>
      <c r="AF29" s="1004"/>
      <c r="AG29" s="1004"/>
      <c r="BB29" s="682"/>
      <c r="BC29" s="109"/>
      <c r="BD29" s="109"/>
    </row>
    <row r="30" spans="2:56" x14ac:dyDescent="0.2">
      <c r="B30" s="846"/>
      <c r="C30" s="942"/>
      <c r="D30" s="1013"/>
      <c r="E30" s="683"/>
      <c r="F30" s="683"/>
      <c r="G30" s="792"/>
      <c r="H30" s="792"/>
      <c r="I30" s="792"/>
      <c r="J30" s="792"/>
      <c r="K30" s="1327" t="s">
        <v>772</v>
      </c>
      <c r="L30" s="792"/>
      <c r="M30" s="792"/>
      <c r="N30" s="792"/>
      <c r="O30" s="988">
        <f t="shared" ref="O30:T30" si="11">O28-O29</f>
        <v>-77859.210000000006</v>
      </c>
      <c r="P30" s="988">
        <f t="shared" si="11"/>
        <v>-81861.829797544196</v>
      </c>
      <c r="Q30" s="988">
        <f t="shared" si="11"/>
        <v>-98299.426144780577</v>
      </c>
      <c r="R30" s="988">
        <f t="shared" si="11"/>
        <v>-100260.22614478059</v>
      </c>
      <c r="S30" s="988">
        <f t="shared" si="11"/>
        <v>-100260.22614478059</v>
      </c>
      <c r="T30" s="988">
        <f t="shared" si="11"/>
        <v>-96197.266144780588</v>
      </c>
      <c r="U30" s="988" t="e">
        <f>U28-U29</f>
        <v>#REF!</v>
      </c>
      <c r="V30" s="682"/>
      <c r="W30" s="987"/>
      <c r="X30" s="682"/>
      <c r="Y30" s="682"/>
      <c r="Z30" s="682"/>
      <c r="AA30" s="682"/>
      <c r="AB30" s="682"/>
      <c r="AC30" s="682"/>
      <c r="AD30" s="682"/>
      <c r="AE30" s="1004"/>
      <c r="AF30" s="1004"/>
      <c r="AG30" s="1004"/>
      <c r="BB30" s="682"/>
      <c r="BC30" s="109"/>
      <c r="BD30" s="109"/>
    </row>
    <row r="31" spans="2:56" x14ac:dyDescent="0.2">
      <c r="B31" s="846"/>
      <c r="C31" s="942"/>
      <c r="D31" s="1013"/>
      <c r="E31" s="683"/>
      <c r="F31" s="683"/>
      <c r="G31" s="792"/>
      <c r="H31" s="792"/>
      <c r="I31" s="792"/>
      <c r="J31" s="792"/>
      <c r="K31" s="792"/>
      <c r="L31" s="792"/>
      <c r="M31" s="792"/>
      <c r="N31" s="792"/>
      <c r="O31" s="1248"/>
      <c r="P31" s="1248"/>
      <c r="Q31" s="1248"/>
      <c r="R31" s="1248"/>
      <c r="S31" s="1248"/>
      <c r="T31" s="1248"/>
      <c r="U31" s="1248"/>
      <c r="V31" s="682"/>
      <c r="W31" s="987"/>
      <c r="X31" s="682"/>
      <c r="Y31" s="682"/>
      <c r="Z31" s="682"/>
      <c r="AA31" s="682"/>
      <c r="AB31" s="682"/>
      <c r="AC31" s="682"/>
      <c r="AD31" s="682"/>
      <c r="AE31" s="1004"/>
      <c r="AF31" s="1004"/>
      <c r="AG31" s="1004"/>
      <c r="BB31" s="682"/>
      <c r="BC31" s="109"/>
      <c r="BD31" s="109"/>
    </row>
    <row r="32" spans="2:56" x14ac:dyDescent="0.2">
      <c r="B32" s="846"/>
      <c r="C32" s="942"/>
      <c r="D32" s="1013" t="s">
        <v>735</v>
      </c>
      <c r="E32" s="683"/>
      <c r="F32" s="683"/>
      <c r="G32" s="792"/>
      <c r="H32" s="792"/>
      <c r="I32" s="792"/>
      <c r="J32" s="792"/>
      <c r="K32" s="792"/>
      <c r="L32" s="792"/>
      <c r="M32" s="792"/>
      <c r="N32" s="792"/>
      <c r="O32" s="986">
        <f t="shared" ref="O32:T33" si="12">O25+O28</f>
        <v>0</v>
      </c>
      <c r="P32" s="986">
        <f t="shared" si="12"/>
        <v>319906.72093030909</v>
      </c>
      <c r="Q32" s="986">
        <f t="shared" si="12"/>
        <v>318352.17839813011</v>
      </c>
      <c r="R32" s="986">
        <f t="shared" si="12"/>
        <v>318352.17839813011</v>
      </c>
      <c r="S32" s="986">
        <f t="shared" si="12"/>
        <v>318352.17839813011</v>
      </c>
      <c r="T32" s="986">
        <f t="shared" si="12"/>
        <v>318352.17839813011</v>
      </c>
      <c r="U32" s="986" t="e">
        <f>U25+U28</f>
        <v>#REF!</v>
      </c>
      <c r="V32" s="682"/>
      <c r="W32" s="987"/>
      <c r="X32" s="682"/>
      <c r="Y32" s="682"/>
      <c r="Z32" s="682"/>
      <c r="AA32" s="682"/>
      <c r="AB32" s="682"/>
      <c r="AC32" s="682"/>
      <c r="AD32" s="682"/>
      <c r="AE32" s="1004"/>
      <c r="AF32" s="1004"/>
      <c r="AG32" s="1004"/>
      <c r="BB32" s="682"/>
      <c r="BC32" s="109"/>
      <c r="BD32" s="109"/>
    </row>
    <row r="33" spans="2:56" x14ac:dyDescent="0.2">
      <c r="B33" s="846"/>
      <c r="C33" s="942"/>
      <c r="D33" s="1013" t="s">
        <v>736</v>
      </c>
      <c r="E33" s="683"/>
      <c r="F33" s="683"/>
      <c r="G33" s="792"/>
      <c r="H33" s="792"/>
      <c r="I33" s="792"/>
      <c r="J33" s="792"/>
      <c r="K33" s="792"/>
      <c r="L33" s="792"/>
      <c r="M33" s="792"/>
      <c r="N33" s="792"/>
      <c r="O33" s="986">
        <f t="shared" si="12"/>
        <v>140291.77000000002</v>
      </c>
      <c r="P33" s="986">
        <f t="shared" si="12"/>
        <v>81670.5</v>
      </c>
      <c r="Q33" s="986">
        <f t="shared" si="12"/>
        <v>84861.599999999991</v>
      </c>
      <c r="R33" s="986">
        <f t="shared" si="12"/>
        <v>86822.400000000009</v>
      </c>
      <c r="S33" s="986">
        <f t="shared" si="12"/>
        <v>86822.400000000009</v>
      </c>
      <c r="T33" s="986">
        <f t="shared" si="12"/>
        <v>82759.44</v>
      </c>
      <c r="U33" s="986">
        <f>U26+U29</f>
        <v>82759.44</v>
      </c>
      <c r="V33" s="682"/>
      <c r="W33" s="987"/>
      <c r="X33" s="682"/>
      <c r="Y33" s="682"/>
      <c r="Z33" s="682"/>
      <c r="AA33" s="682"/>
      <c r="AB33" s="682"/>
      <c r="AC33" s="682"/>
      <c r="AD33" s="682"/>
      <c r="AE33" s="1004"/>
      <c r="AF33" s="1004"/>
      <c r="AG33" s="1004"/>
      <c r="BB33" s="682"/>
      <c r="BC33" s="109"/>
      <c r="BD33" s="109"/>
    </row>
    <row r="34" spans="2:56" x14ac:dyDescent="0.2">
      <c r="B34" s="846"/>
      <c r="C34" s="942"/>
      <c r="D34" s="942" t="s">
        <v>606</v>
      </c>
      <c r="E34" s="683"/>
      <c r="F34" s="683"/>
      <c r="G34" s="792"/>
      <c r="H34" s="792"/>
      <c r="I34" s="792"/>
      <c r="J34" s="792"/>
      <c r="K34" s="792"/>
      <c r="L34" s="792"/>
      <c r="M34" s="792"/>
      <c r="N34" s="792"/>
      <c r="O34" s="1051">
        <f t="shared" ref="O34:T34" si="13">O32-O33</f>
        <v>-140291.77000000002</v>
      </c>
      <c r="P34" s="1051">
        <f t="shared" si="13"/>
        <v>238236.22093030909</v>
      </c>
      <c r="Q34" s="1051">
        <f t="shared" si="13"/>
        <v>233490.57839813014</v>
      </c>
      <c r="R34" s="1051">
        <f t="shared" si="13"/>
        <v>231529.77839813009</v>
      </c>
      <c r="S34" s="1051">
        <f t="shared" si="13"/>
        <v>231529.77839813009</v>
      </c>
      <c r="T34" s="1051">
        <f t="shared" si="13"/>
        <v>235592.73839813011</v>
      </c>
      <c r="U34" s="1051" t="e">
        <f>U32-U33</f>
        <v>#REF!</v>
      </c>
      <c r="V34" s="682"/>
      <c r="W34" s="987"/>
      <c r="X34" s="682"/>
      <c r="Y34" s="682"/>
      <c r="Z34" s="682"/>
      <c r="AA34" s="682"/>
      <c r="AB34" s="682"/>
      <c r="AC34" s="682"/>
      <c r="AD34" s="682"/>
      <c r="AE34" s="1004"/>
      <c r="AF34" s="1004"/>
      <c r="AG34" s="1004"/>
      <c r="BB34" s="682"/>
      <c r="BC34" s="109"/>
      <c r="BD34" s="109"/>
    </row>
    <row r="35" spans="2:56" x14ac:dyDescent="0.2">
      <c r="B35" s="846"/>
      <c r="C35" s="942"/>
      <c r="D35" s="942" t="s">
        <v>603</v>
      </c>
      <c r="E35" s="683"/>
      <c r="F35" s="683"/>
      <c r="G35" s="792"/>
      <c r="H35" s="792"/>
      <c r="I35" s="792"/>
      <c r="J35" s="792"/>
      <c r="K35" s="792"/>
      <c r="L35" s="792"/>
      <c r="M35" s="792"/>
      <c r="N35" s="792"/>
      <c r="O35" s="986">
        <f>mat!J15</f>
        <v>0</v>
      </c>
      <c r="P35" s="986">
        <f>mat!K15</f>
        <v>221712</v>
      </c>
      <c r="Q35" s="986">
        <f>mat!L15</f>
        <v>222598</v>
      </c>
      <c r="R35" s="986">
        <f>mat!M15</f>
        <v>222598</v>
      </c>
      <c r="S35" s="986">
        <f>mat!N15</f>
        <v>222598</v>
      </c>
      <c r="T35" s="986">
        <f>mat!O15</f>
        <v>222598</v>
      </c>
      <c r="U35" s="986" t="e">
        <f>mat!#REF!</f>
        <v>#REF!</v>
      </c>
      <c r="V35" s="682"/>
      <c r="W35" s="987"/>
      <c r="X35" s="682"/>
      <c r="Y35" s="682"/>
      <c r="Z35" s="682"/>
      <c r="AA35" s="682"/>
      <c r="AB35" s="682"/>
      <c r="AC35" s="682"/>
      <c r="AD35" s="682"/>
      <c r="AE35" s="1004"/>
      <c r="AF35" s="1004"/>
      <c r="AG35" s="1004"/>
      <c r="BB35" s="682"/>
      <c r="BC35" s="109"/>
      <c r="BD35" s="109"/>
    </row>
    <row r="36" spans="2:56" x14ac:dyDescent="0.2">
      <c r="B36" s="846"/>
      <c r="C36" s="942"/>
      <c r="D36" s="942" t="s">
        <v>604</v>
      </c>
      <c r="E36" s="683"/>
      <c r="F36" s="683"/>
      <c r="G36" s="792"/>
      <c r="H36" s="792"/>
      <c r="I36" s="792"/>
      <c r="J36" s="792"/>
      <c r="K36" s="792"/>
      <c r="L36" s="792"/>
      <c r="M36" s="792"/>
      <c r="N36" s="792"/>
      <c r="O36" s="1051">
        <f t="shared" ref="O36:T36" si="14">IF((O34+O35)&lt;0,O34+O35,0)</f>
        <v>-140291.77000000002</v>
      </c>
      <c r="P36" s="1051">
        <f t="shared" si="14"/>
        <v>0</v>
      </c>
      <c r="Q36" s="1051">
        <f t="shared" si="14"/>
        <v>0</v>
      </c>
      <c r="R36" s="1051">
        <f t="shared" si="14"/>
        <v>0</v>
      </c>
      <c r="S36" s="1051">
        <f t="shared" si="14"/>
        <v>0</v>
      </c>
      <c r="T36" s="1051">
        <f t="shared" si="14"/>
        <v>0</v>
      </c>
      <c r="U36" s="1051" t="e">
        <f>IF((U34+U35)&lt;0,U34+U35,0)</f>
        <v>#REF!</v>
      </c>
      <c r="V36" s="682"/>
      <c r="W36" s="987"/>
      <c r="X36" s="682"/>
      <c r="Y36" s="682"/>
      <c r="Z36" s="682"/>
      <c r="AA36" s="682"/>
      <c r="AB36" s="682"/>
      <c r="AC36" s="682"/>
      <c r="AD36" s="682"/>
      <c r="AE36" s="1004"/>
      <c r="AF36" s="1004"/>
      <c r="AG36" s="1004"/>
      <c r="BB36" s="682"/>
      <c r="BC36" s="109"/>
      <c r="BD36" s="109"/>
    </row>
    <row r="37" spans="2:56" x14ac:dyDescent="0.2">
      <c r="B37" s="846"/>
      <c r="C37" s="942"/>
      <c r="D37" s="942" t="s">
        <v>605</v>
      </c>
      <c r="E37" s="683"/>
      <c r="F37" s="683"/>
      <c r="G37" s="792"/>
      <c r="H37" s="792"/>
      <c r="I37" s="792"/>
      <c r="J37" s="792"/>
      <c r="K37" s="792"/>
      <c r="L37" s="792"/>
      <c r="M37" s="792"/>
      <c r="N37" s="792"/>
      <c r="O37" s="1052">
        <f>-O36/'geg ll'!G71</f>
        <v>8.4213800348160159</v>
      </c>
      <c r="P37" s="1052">
        <f>-P36/'geg ll'!H71</f>
        <v>0</v>
      </c>
      <c r="Q37" s="1052">
        <f>-Q36/'geg ll'!I71</f>
        <v>0</v>
      </c>
      <c r="R37" s="1052">
        <f>-R36/'geg ll'!J71</f>
        <v>0</v>
      </c>
      <c r="S37" s="1052">
        <f>-S36/'geg ll'!K71</f>
        <v>0</v>
      </c>
      <c r="T37" s="1052">
        <f>-T36/'geg ll'!L71</f>
        <v>0</v>
      </c>
      <c r="U37" s="1052" t="e">
        <f>-U36/'geg ll'!M71</f>
        <v>#REF!</v>
      </c>
      <c r="V37" s="682"/>
      <c r="W37" s="987"/>
      <c r="X37" s="682"/>
      <c r="Y37" s="682"/>
      <c r="Z37" s="682"/>
      <c r="AA37" s="682"/>
      <c r="AB37" s="682"/>
      <c r="AC37" s="682"/>
      <c r="AD37" s="682"/>
      <c r="AE37" s="1004"/>
      <c r="AF37" s="1004"/>
      <c r="AG37" s="1004"/>
      <c r="BB37" s="682"/>
      <c r="BC37" s="109"/>
      <c r="BD37" s="109"/>
    </row>
    <row r="38" spans="2:56" x14ac:dyDescent="0.2">
      <c r="B38" s="846"/>
      <c r="C38" s="942"/>
      <c r="D38" s="942"/>
      <c r="E38" s="683"/>
      <c r="F38" s="683"/>
      <c r="G38" s="792"/>
      <c r="H38" s="792"/>
      <c r="I38" s="792"/>
      <c r="J38" s="792"/>
      <c r="K38" s="792"/>
      <c r="L38" s="792"/>
      <c r="M38" s="792"/>
      <c r="N38" s="792"/>
      <c r="O38" s="682"/>
      <c r="P38" s="682"/>
      <c r="Q38" s="682"/>
      <c r="R38" s="682"/>
      <c r="S38" s="682"/>
      <c r="T38" s="682"/>
      <c r="U38" s="682"/>
      <c r="V38" s="682"/>
      <c r="W38" s="987"/>
      <c r="X38" s="682"/>
      <c r="Y38" s="682"/>
      <c r="Z38" s="682"/>
      <c r="AA38" s="682"/>
      <c r="AB38" s="682"/>
      <c r="AC38" s="682"/>
      <c r="AD38" s="682"/>
      <c r="AE38" s="1004"/>
      <c r="AF38" s="1004"/>
      <c r="AG38" s="1004"/>
      <c r="BB38" s="682"/>
      <c r="BC38" s="109"/>
      <c r="BD38" s="109"/>
    </row>
    <row r="39" spans="2:56" x14ac:dyDescent="0.2">
      <c r="B39" s="846"/>
      <c r="C39" s="942"/>
      <c r="D39" s="942"/>
      <c r="E39" s="683"/>
      <c r="F39" s="683"/>
      <c r="G39" s="792"/>
      <c r="H39" s="792"/>
      <c r="I39" s="792"/>
      <c r="J39" s="792"/>
      <c r="K39" s="1328" t="s">
        <v>792</v>
      </c>
      <c r="L39" s="792"/>
      <c r="M39" s="792"/>
      <c r="N39" s="792"/>
      <c r="O39" s="1329">
        <f t="shared" ref="O39:U39" si="15">O19+O20-O21+O34+O35-O36</f>
        <v>0</v>
      </c>
      <c r="P39" s="1329">
        <f t="shared" si="15"/>
        <v>7810302.5678924844</v>
      </c>
      <c r="Q39" s="1329">
        <f t="shared" si="15"/>
        <v>7460493.5041327318</v>
      </c>
      <c r="R39" s="1329">
        <f t="shared" si="15"/>
        <v>7628440.3819475258</v>
      </c>
      <c r="S39" s="1329">
        <f t="shared" si="15"/>
        <v>7628440.3819475258</v>
      </c>
      <c r="T39" s="1329">
        <f t="shared" si="15"/>
        <v>7632503.3419475257</v>
      </c>
      <c r="U39" s="1329" t="e">
        <f t="shared" si="15"/>
        <v>#REF!</v>
      </c>
      <c r="V39" s="682"/>
      <c r="W39" s="987"/>
      <c r="X39" s="682"/>
      <c r="Y39" s="682"/>
      <c r="Z39" s="682"/>
      <c r="AA39" s="682"/>
      <c r="AB39" s="682"/>
      <c r="AC39" s="682"/>
      <c r="AD39" s="682"/>
      <c r="AE39" s="1004"/>
      <c r="AF39" s="1004"/>
      <c r="AG39" s="1004"/>
      <c r="BB39" s="682"/>
      <c r="BC39" s="109"/>
      <c r="BD39" s="109"/>
    </row>
    <row r="40" spans="2:56" x14ac:dyDescent="0.2">
      <c r="B40" s="846"/>
      <c r="C40" s="942"/>
      <c r="D40" s="942"/>
      <c r="E40" s="683"/>
      <c r="F40" s="683"/>
      <c r="G40" s="792"/>
      <c r="H40" s="792"/>
      <c r="I40" s="792"/>
      <c r="J40" s="792"/>
      <c r="K40" s="792"/>
      <c r="L40" s="792"/>
      <c r="M40" s="792"/>
      <c r="N40" s="792"/>
      <c r="O40" s="682"/>
      <c r="P40" s="682"/>
      <c r="Q40" s="682"/>
      <c r="R40" s="682"/>
      <c r="S40" s="682"/>
      <c r="T40" s="682"/>
      <c r="U40" s="682"/>
      <c r="V40" s="682"/>
      <c r="W40" s="987"/>
      <c r="X40" s="682"/>
      <c r="Y40" s="682"/>
      <c r="Z40" s="682"/>
      <c r="AA40" s="682"/>
      <c r="AB40" s="682"/>
      <c r="AC40" s="682"/>
      <c r="AD40" s="682"/>
      <c r="AE40" s="1004"/>
      <c r="AF40" s="1004"/>
      <c r="AG40" s="1004"/>
      <c r="BB40" s="682"/>
      <c r="BC40" s="109"/>
      <c r="BD40" s="109"/>
    </row>
    <row r="41" spans="2:56" x14ac:dyDescent="0.2">
      <c r="B41" s="846"/>
      <c r="C41" s="942"/>
      <c r="D41" s="835" t="s">
        <v>737</v>
      </c>
      <c r="E41" s="683"/>
      <c r="F41" s="683"/>
      <c r="G41" s="792"/>
      <c r="H41" s="792"/>
      <c r="I41" s="792"/>
      <c r="J41" s="792"/>
      <c r="K41" s="792"/>
      <c r="L41" s="792"/>
      <c r="M41" s="792"/>
      <c r="N41" s="792"/>
      <c r="O41" s="1278">
        <f t="shared" ref="O41:T41" si="16">O22+O37</f>
        <v>215.34307221321811</v>
      </c>
      <c r="P41" s="1278">
        <f t="shared" si="16"/>
        <v>0</v>
      </c>
      <c r="Q41" s="1278">
        <f t="shared" si="16"/>
        <v>0</v>
      </c>
      <c r="R41" s="1278">
        <f t="shared" si="16"/>
        <v>0</v>
      </c>
      <c r="S41" s="1278">
        <f t="shared" si="16"/>
        <v>0</v>
      </c>
      <c r="T41" s="1278">
        <f t="shared" si="16"/>
        <v>0</v>
      </c>
      <c r="U41" s="1278" t="e">
        <f>U22+U37</f>
        <v>#REF!</v>
      </c>
      <c r="V41" s="682"/>
      <c r="W41" s="987"/>
      <c r="X41" s="682"/>
      <c r="Y41" s="682"/>
      <c r="Z41" s="682"/>
      <c r="AA41" s="682"/>
      <c r="AB41" s="682"/>
      <c r="AC41" s="682"/>
      <c r="AD41" s="682"/>
      <c r="AE41" s="1004"/>
      <c r="AF41" s="1004"/>
      <c r="AG41" s="1004"/>
      <c r="BB41" s="682"/>
      <c r="BC41" s="109"/>
      <c r="BD41" s="109"/>
    </row>
    <row r="42" spans="2:56" x14ac:dyDescent="0.2">
      <c r="B42" s="846"/>
      <c r="C42" s="942"/>
      <c r="D42" s="1250" t="s">
        <v>738</v>
      </c>
      <c r="E42" s="683"/>
      <c r="F42" s="683"/>
      <c r="G42" s="792"/>
      <c r="H42" s="792"/>
      <c r="I42" s="792"/>
      <c r="J42" s="792"/>
      <c r="K42" s="792"/>
      <c r="L42" s="792"/>
      <c r="M42" s="792"/>
      <c r="N42" s="792"/>
      <c r="O42" s="682"/>
      <c r="P42" s="682"/>
      <c r="Q42" s="682"/>
      <c r="R42" s="682"/>
      <c r="S42" s="682"/>
      <c r="T42" s="682"/>
      <c r="U42" s="682"/>
      <c r="V42" s="682"/>
      <c r="W42" s="987"/>
      <c r="X42" s="682"/>
      <c r="Y42" s="682"/>
      <c r="Z42" s="682"/>
      <c r="AA42" s="682"/>
      <c r="AB42" s="682"/>
      <c r="AC42" s="682"/>
      <c r="AD42" s="682"/>
      <c r="AE42" s="1004"/>
      <c r="AF42" s="1004"/>
      <c r="AG42" s="1004"/>
      <c r="BB42" s="682"/>
      <c r="BC42" s="109"/>
      <c r="BD42" s="109"/>
    </row>
    <row r="43" spans="2:56" x14ac:dyDescent="0.2">
      <c r="B43" s="846"/>
      <c r="C43" s="942"/>
      <c r="D43" s="942"/>
      <c r="E43" s="683"/>
      <c r="F43" s="683"/>
      <c r="G43" s="792"/>
      <c r="H43" s="792"/>
      <c r="I43" s="792"/>
      <c r="J43" s="792"/>
      <c r="K43" s="792"/>
      <c r="L43" s="792"/>
      <c r="M43" s="792"/>
      <c r="N43" s="792"/>
      <c r="O43" s="682"/>
      <c r="P43" s="682"/>
      <c r="Q43" s="682"/>
      <c r="R43" s="682"/>
      <c r="S43" s="682"/>
      <c r="T43" s="682"/>
      <c r="U43" s="682"/>
      <c r="V43" s="682"/>
      <c r="W43" s="987"/>
      <c r="X43" s="682"/>
      <c r="Y43" s="682"/>
      <c r="Z43" s="682"/>
      <c r="AA43" s="682"/>
      <c r="AB43" s="682"/>
      <c r="AC43" s="682"/>
      <c r="AD43" s="682"/>
      <c r="AE43" s="1004"/>
      <c r="AF43" s="1004"/>
      <c r="AG43" s="1004"/>
      <c r="BB43" s="682"/>
      <c r="BC43" s="109"/>
      <c r="BD43" s="109"/>
    </row>
    <row r="44" spans="2:56" x14ac:dyDescent="0.2">
      <c r="B44" s="981"/>
      <c r="C44" s="982"/>
      <c r="D44" s="982"/>
      <c r="E44" s="983"/>
      <c r="F44" s="983"/>
      <c r="G44" s="984"/>
      <c r="H44" s="984"/>
      <c r="I44" s="984"/>
      <c r="J44" s="984"/>
      <c r="K44" s="984"/>
      <c r="L44" s="984"/>
      <c r="M44" s="1523"/>
      <c r="N44" s="984"/>
      <c r="O44" s="976"/>
      <c r="P44" s="976"/>
      <c r="Q44" s="976"/>
      <c r="R44" s="976"/>
      <c r="S44" s="976"/>
      <c r="T44" s="976"/>
      <c r="U44" s="976"/>
      <c r="V44" s="976"/>
      <c r="W44" s="985"/>
      <c r="X44" s="792"/>
      <c r="Y44" s="682"/>
      <c r="Z44" s="682"/>
      <c r="AA44" s="682"/>
      <c r="AB44" s="682"/>
      <c r="AC44" s="682"/>
      <c r="AD44" s="682"/>
      <c r="AE44" s="682"/>
      <c r="AF44" s="1004"/>
      <c r="AG44" s="1004"/>
      <c r="BC44" s="682"/>
      <c r="BD44" s="109"/>
    </row>
    <row r="46" spans="2:56" x14ac:dyDescent="0.2">
      <c r="B46" s="71"/>
      <c r="C46" s="126"/>
      <c r="D46" s="126"/>
      <c r="E46" s="127"/>
      <c r="F46" s="127"/>
      <c r="G46" s="73"/>
      <c r="H46" s="73"/>
      <c r="I46" s="73"/>
      <c r="J46" s="73"/>
      <c r="K46" s="73"/>
      <c r="L46" s="73"/>
      <c r="M46" s="948"/>
      <c r="N46" s="73"/>
      <c r="O46" s="72"/>
      <c r="P46" s="72"/>
      <c r="Q46" s="72"/>
      <c r="R46" s="72"/>
      <c r="S46" s="72"/>
      <c r="T46" s="945"/>
      <c r="U46" s="945"/>
      <c r="V46" s="73"/>
      <c r="W46" s="1264"/>
      <c r="X46" s="1255"/>
      <c r="Y46" s="1255"/>
      <c r="Z46" s="1255"/>
      <c r="AA46" s="1255"/>
      <c r="AB46" s="1255"/>
      <c r="AC46" s="1255"/>
      <c r="AD46" s="1255"/>
      <c r="AE46" s="1255"/>
      <c r="AF46" s="1256"/>
      <c r="AG46" s="1004"/>
      <c r="AT46" s="109"/>
      <c r="AU46" s="109"/>
      <c r="AV46" s="109"/>
      <c r="AW46" s="109"/>
      <c r="AX46" s="109"/>
      <c r="AY46" s="109"/>
      <c r="AZ46" s="109"/>
      <c r="BA46" s="109"/>
      <c r="BB46" s="109"/>
      <c r="BC46" s="109"/>
      <c r="BD46" s="109"/>
    </row>
    <row r="47" spans="2:56" s="10" customFormat="1" ht="18.75" x14ac:dyDescent="0.3">
      <c r="B47" s="949"/>
      <c r="C47" s="87"/>
      <c r="D47" s="57"/>
      <c r="E47" s="122"/>
      <c r="F47" s="122"/>
      <c r="G47" s="86"/>
      <c r="H47" s="86"/>
      <c r="I47" s="86"/>
      <c r="J47" s="86"/>
      <c r="K47" s="86"/>
      <c r="L47" s="86"/>
      <c r="M47" s="86"/>
      <c r="N47" s="86"/>
      <c r="O47" s="57"/>
      <c r="P47" s="57"/>
      <c r="Q47" s="57"/>
      <c r="R47" s="57"/>
      <c r="S47" s="57"/>
      <c r="T47" s="57"/>
      <c r="U47" s="57"/>
      <c r="V47" s="86"/>
      <c r="W47" s="949"/>
      <c r="X47" s="1254"/>
      <c r="Y47" s="1254"/>
      <c r="Z47" s="1254"/>
      <c r="AA47" s="1254"/>
      <c r="AB47" s="1254"/>
      <c r="AC47" s="1254"/>
      <c r="AD47" s="1254"/>
      <c r="AE47" s="1254"/>
      <c r="AF47" s="1257"/>
      <c r="AG47" s="1004"/>
      <c r="AH47" s="1004"/>
      <c r="AI47" s="1004"/>
      <c r="AJ47" s="1004"/>
      <c r="AK47" s="1004"/>
      <c r="AL47" s="1004"/>
      <c r="AM47" s="1004"/>
      <c r="AN47" s="1004"/>
      <c r="AO47" s="1004"/>
      <c r="AP47" s="1004"/>
      <c r="AQ47" s="1004"/>
      <c r="AR47" s="1004"/>
      <c r="AS47" s="1004"/>
    </row>
    <row r="48" spans="2:56" x14ac:dyDescent="0.2">
      <c r="B48" s="883"/>
      <c r="C48" s="120"/>
      <c r="D48" s="136"/>
      <c r="E48" s="137"/>
      <c r="F48" s="137"/>
      <c r="G48" s="138"/>
      <c r="H48" s="138"/>
      <c r="I48" s="138"/>
      <c r="J48" s="138"/>
      <c r="K48" s="138"/>
      <c r="L48" s="138"/>
      <c r="M48" s="138"/>
      <c r="N48" s="138"/>
      <c r="O48" s="882" t="s">
        <v>540</v>
      </c>
      <c r="P48" s="139"/>
      <c r="Q48" s="139"/>
      <c r="R48" s="139"/>
      <c r="S48" s="139"/>
      <c r="T48" s="139"/>
      <c r="U48" s="139"/>
      <c r="V48" s="138"/>
      <c r="W48" s="1268"/>
      <c r="X48" s="882" t="s">
        <v>734</v>
      </c>
      <c r="Y48" s="139"/>
      <c r="Z48" s="139"/>
      <c r="AA48" s="139"/>
      <c r="AB48" s="139"/>
      <c r="AC48" s="139"/>
      <c r="AD48" s="139"/>
      <c r="AE48" s="138"/>
      <c r="AF48" s="992"/>
      <c r="AG48" s="1004"/>
      <c r="AT48" s="109"/>
      <c r="AU48" s="109"/>
      <c r="AV48" s="109"/>
      <c r="AW48" s="109"/>
      <c r="AX48" s="109"/>
      <c r="AY48" s="109"/>
      <c r="AZ48" s="109"/>
      <c r="BA48" s="109"/>
      <c r="BB48" s="109"/>
      <c r="BC48" s="109"/>
      <c r="BD48" s="109"/>
    </row>
    <row r="49" spans="2:45" s="11" customFormat="1" x14ac:dyDescent="0.2">
      <c r="B49" s="951"/>
      <c r="C49" s="63"/>
      <c r="D49" s="140"/>
      <c r="E49" s="141"/>
      <c r="F49" s="141"/>
      <c r="H49" s="94" t="s">
        <v>514</v>
      </c>
      <c r="I49" s="142"/>
      <c r="J49" s="142"/>
      <c r="K49" s="142"/>
      <c r="L49" s="142"/>
      <c r="M49" s="142"/>
      <c r="N49" s="142"/>
      <c r="O49" s="108"/>
      <c r="P49" s="108"/>
      <c r="Q49" s="108"/>
      <c r="R49" s="108"/>
      <c r="S49" s="108"/>
      <c r="T49" s="108"/>
      <c r="U49" s="108"/>
      <c r="V49" s="142"/>
      <c r="W49" s="1269"/>
      <c r="X49" s="108"/>
      <c r="Y49" s="108"/>
      <c r="Z49" s="108"/>
      <c r="AA49" s="108"/>
      <c r="AB49" s="108"/>
      <c r="AC49" s="108"/>
      <c r="AD49" s="108"/>
      <c r="AE49" s="142"/>
      <c r="AF49" s="993"/>
      <c r="AG49" s="1004"/>
      <c r="AH49" s="1004"/>
      <c r="AI49" s="1004"/>
      <c r="AJ49" s="1004"/>
      <c r="AK49" s="1004"/>
      <c r="AL49" s="1004"/>
      <c r="AM49" s="1004"/>
      <c r="AN49" s="1004"/>
      <c r="AO49" s="1004"/>
      <c r="AP49" s="1004"/>
      <c r="AQ49" s="1004"/>
      <c r="AR49" s="1004"/>
      <c r="AS49" s="1004"/>
    </row>
    <row r="50" spans="2:45" s="12" customFormat="1" x14ac:dyDescent="0.2">
      <c r="B50" s="952"/>
      <c r="C50" s="52"/>
      <c r="D50" s="143"/>
      <c r="E50" s="137"/>
      <c r="F50" s="137"/>
      <c r="G50" s="1008">
        <f>tab!E4</f>
        <v>2018</v>
      </c>
      <c r="H50" s="1008">
        <f>tab!F4</f>
        <v>2019</v>
      </c>
      <c r="I50" s="1008">
        <f>tab!G4</f>
        <v>2020</v>
      </c>
      <c r="J50" s="1008">
        <f>tab!H4</f>
        <v>2021</v>
      </c>
      <c r="K50" s="1008">
        <f>tab!I4</f>
        <v>2022</v>
      </c>
      <c r="L50" s="1008">
        <f>tab!J4</f>
        <v>2023</v>
      </c>
      <c r="M50" s="1008">
        <f>tab!K4</f>
        <v>2024</v>
      </c>
      <c r="N50" s="143"/>
      <c r="O50" s="1008">
        <f>+tab!F4</f>
        <v>2019</v>
      </c>
      <c r="P50" s="1008">
        <f>+tab!G4</f>
        <v>2020</v>
      </c>
      <c r="Q50" s="1008">
        <f>+tab!H4</f>
        <v>2021</v>
      </c>
      <c r="R50" s="1008">
        <f>+tab!I4</f>
        <v>2022</v>
      </c>
      <c r="S50" s="1008">
        <f>+tab!J4</f>
        <v>2023</v>
      </c>
      <c r="T50" s="1008">
        <f>+tab!K4</f>
        <v>2024</v>
      </c>
      <c r="U50" s="1008">
        <f>+tab!L4</f>
        <v>2025</v>
      </c>
      <c r="V50" s="990"/>
      <c r="W50" s="1270"/>
      <c r="X50" s="1008">
        <f t="shared" ref="X50:AD50" si="17">O50</f>
        <v>2019</v>
      </c>
      <c r="Y50" s="1008">
        <f t="shared" si="17"/>
        <v>2020</v>
      </c>
      <c r="Z50" s="1008">
        <f t="shared" si="17"/>
        <v>2021</v>
      </c>
      <c r="AA50" s="1008">
        <f t="shared" si="17"/>
        <v>2022</v>
      </c>
      <c r="AB50" s="1008">
        <f t="shared" si="17"/>
        <v>2023</v>
      </c>
      <c r="AC50" s="1008">
        <f t="shared" si="17"/>
        <v>2024</v>
      </c>
      <c r="AD50" s="1008">
        <f t="shared" si="17"/>
        <v>2025</v>
      </c>
      <c r="AE50" s="143"/>
      <c r="AF50" s="944"/>
      <c r="AG50" s="1004"/>
      <c r="AH50" s="1004"/>
      <c r="AI50" s="1004"/>
      <c r="AJ50" s="1004"/>
      <c r="AK50" s="1004"/>
      <c r="AL50" s="1004"/>
      <c r="AM50" s="1004"/>
      <c r="AN50" s="1004"/>
      <c r="AO50" s="1004"/>
      <c r="AP50" s="1004"/>
      <c r="AQ50" s="1004"/>
      <c r="AR50" s="1004"/>
      <c r="AS50" s="1004"/>
    </row>
    <row r="51" spans="2:45" s="112" customFormat="1" x14ac:dyDescent="0.2">
      <c r="B51" s="953"/>
      <c r="C51" s="120"/>
      <c r="D51" s="144"/>
      <c r="E51" s="145"/>
      <c r="F51" s="145"/>
      <c r="G51" s="138"/>
      <c r="H51" s="138"/>
      <c r="I51" s="138"/>
      <c r="J51" s="138"/>
      <c r="K51" s="138"/>
      <c r="L51" s="138"/>
      <c r="M51" s="138"/>
      <c r="N51" s="138"/>
      <c r="O51" s="138"/>
      <c r="P51" s="138"/>
      <c r="Q51" s="138"/>
      <c r="R51" s="138"/>
      <c r="S51" s="138"/>
      <c r="T51" s="138"/>
      <c r="U51" s="138"/>
      <c r="V51" s="138"/>
      <c r="W51" s="1271"/>
      <c r="X51" s="138"/>
      <c r="Y51" s="138"/>
      <c r="Z51" s="138"/>
      <c r="AA51" s="138"/>
      <c r="AB51" s="138"/>
      <c r="AC51" s="138"/>
      <c r="AD51" s="138"/>
      <c r="AE51" s="138"/>
      <c r="AF51" s="975"/>
      <c r="AG51" s="1004"/>
      <c r="AH51" s="1004"/>
      <c r="AI51" s="1004"/>
      <c r="AJ51" s="1004"/>
      <c r="AK51" s="1004"/>
      <c r="AL51" s="1004"/>
      <c r="AM51" s="1004"/>
      <c r="AN51" s="1004"/>
      <c r="AO51" s="1004"/>
      <c r="AP51" s="1004"/>
      <c r="AQ51" s="1004"/>
      <c r="AR51" s="1004"/>
      <c r="AS51" s="1004"/>
    </row>
    <row r="52" spans="2:45" s="112" customFormat="1" x14ac:dyDescent="0.2">
      <c r="B52" s="953"/>
      <c r="C52" s="607"/>
      <c r="D52" s="606" t="s">
        <v>505</v>
      </c>
      <c r="E52" s="609"/>
      <c r="F52" s="609"/>
      <c r="G52" s="995">
        <f t="shared" ref="G52:L53" si="18">+G57+G59+G61+G63+G65+G67+G69+G71+G73+G75+G77+G79+G81+G83+G85+G87+G89+G91+G93+G95</f>
        <v>344</v>
      </c>
      <c r="H52" s="995">
        <f t="shared" si="18"/>
        <v>28</v>
      </c>
      <c r="I52" s="995">
        <f t="shared" si="18"/>
        <v>0</v>
      </c>
      <c r="J52" s="995">
        <f t="shared" si="18"/>
        <v>0</v>
      </c>
      <c r="K52" s="995">
        <f t="shared" si="18"/>
        <v>0</v>
      </c>
      <c r="L52" s="995">
        <f t="shared" si="18"/>
        <v>0</v>
      </c>
      <c r="M52" s="995">
        <f>+M57+M59+M61+M63+M65+M67+M69+M71+M73+M75+M77+M79+M81+M83+M85+M87+M89+M91+M93+M95</f>
        <v>0</v>
      </c>
      <c r="N52" s="989"/>
      <c r="O52" s="612">
        <f t="shared" ref="O52:T53" si="19">+O57+O59+O61+O63+O65+O67+O69+O71+O73+O75+O77+O79+O81+O83+O85+O87+O89+O91+O93+O95</f>
        <v>1534030.1600000001</v>
      </c>
      <c r="P52" s="612">
        <f t="shared" si="19"/>
        <v>124862.92000000001</v>
      </c>
      <c r="Q52" s="612">
        <f t="shared" si="19"/>
        <v>0</v>
      </c>
      <c r="R52" s="612">
        <f t="shared" si="19"/>
        <v>0</v>
      </c>
      <c r="S52" s="612">
        <f t="shared" si="19"/>
        <v>0</v>
      </c>
      <c r="T52" s="612">
        <f t="shared" si="19"/>
        <v>0</v>
      </c>
      <c r="U52" s="612">
        <f>+U57+U59+U61+U63+U65+U67+U69+U71+U73+U75+U77+U79+U81+U83+U85+U87+U89+U91+U93+U95</f>
        <v>0</v>
      </c>
      <c r="V52" s="991"/>
      <c r="W52" s="1272"/>
      <c r="X52" s="1258">
        <f t="shared" ref="X52:AC53" si="20">+X57+X59+X61+X63+X65+X67+X69+X71+X73+X75+X77+X79+X81+X83+X85+X87+X89+X91+X93+X95</f>
        <v>62432.560000000005</v>
      </c>
      <c r="Y52" s="1252">
        <f t="shared" si="20"/>
        <v>5081.72</v>
      </c>
      <c r="Z52" s="1252">
        <f t="shared" si="20"/>
        <v>0</v>
      </c>
      <c r="AA52" s="1252">
        <f t="shared" si="20"/>
        <v>0</v>
      </c>
      <c r="AB52" s="1252">
        <f t="shared" si="20"/>
        <v>0</v>
      </c>
      <c r="AC52" s="1252">
        <f t="shared" si="20"/>
        <v>0</v>
      </c>
      <c r="AD52" s="1252">
        <f>+AD57+AD59+AD61+AD63+AD65+AD67+AD69+AD71+AD73+AD75+AD77+AD79+AD81+AD83+AD85+AD87+AD89+AD91+AD93+AD95</f>
        <v>0</v>
      </c>
      <c r="AE52" s="1253"/>
      <c r="AF52" s="1018"/>
      <c r="AG52" s="1004"/>
      <c r="AH52" s="1004"/>
      <c r="AI52" s="1004"/>
      <c r="AJ52" s="1004"/>
      <c r="AK52" s="1004"/>
      <c r="AL52" s="1004"/>
      <c r="AM52" s="1004"/>
      <c r="AN52" s="1004"/>
      <c r="AO52" s="1004"/>
      <c r="AP52" s="1004"/>
      <c r="AQ52" s="1004"/>
      <c r="AR52" s="1004"/>
      <c r="AS52" s="1004"/>
    </row>
    <row r="53" spans="2:45" s="112" customFormat="1" x14ac:dyDescent="0.2">
      <c r="B53" s="953"/>
      <c r="C53" s="607"/>
      <c r="D53" s="606" t="s">
        <v>506</v>
      </c>
      <c r="E53" s="609"/>
      <c r="F53" s="609"/>
      <c r="G53" s="995">
        <f t="shared" si="18"/>
        <v>429</v>
      </c>
      <c r="H53" s="995">
        <v>422</v>
      </c>
      <c r="I53" s="995">
        <f t="shared" si="18"/>
        <v>456</v>
      </c>
      <c r="J53" s="995">
        <f t="shared" si="18"/>
        <v>456</v>
      </c>
      <c r="K53" s="995">
        <f t="shared" si="18"/>
        <v>456</v>
      </c>
      <c r="L53" s="995">
        <f t="shared" si="18"/>
        <v>456</v>
      </c>
      <c r="M53" s="995">
        <f>+M58+M60+M62+M64+M66+M68+M70+M72+M74+M76+M78+M80+M82+M84+M86+M88+M90+M92+M94+M96</f>
        <v>456</v>
      </c>
      <c r="N53" s="608"/>
      <c r="O53" s="612">
        <f t="shared" si="19"/>
        <v>1913078.31</v>
      </c>
      <c r="P53" s="612">
        <f t="shared" si="19"/>
        <v>1881862.58</v>
      </c>
      <c r="Q53" s="612">
        <f t="shared" si="19"/>
        <v>2135361.3600000003</v>
      </c>
      <c r="R53" s="612">
        <f t="shared" si="19"/>
        <v>2195580.7199999997</v>
      </c>
      <c r="S53" s="612">
        <f t="shared" si="19"/>
        <v>2195580.7199999997</v>
      </c>
      <c r="T53" s="612">
        <f t="shared" si="19"/>
        <v>2195580.7199999997</v>
      </c>
      <c r="U53" s="612">
        <f>+U58+U60+U62+U64+U66+U68+U70+U72+U74+U76+U78+U80+U82+U84+U86+U88+U90+U92+U94+U96</f>
        <v>2195580.7199999997</v>
      </c>
      <c r="V53" s="608"/>
      <c r="W53" s="1272"/>
      <c r="X53" s="1259">
        <f t="shared" si="20"/>
        <v>77859.210000000006</v>
      </c>
      <c r="Y53" s="612">
        <f t="shared" si="20"/>
        <v>76588.78</v>
      </c>
      <c r="Z53" s="612">
        <f t="shared" si="20"/>
        <v>84861.599999999991</v>
      </c>
      <c r="AA53" s="612">
        <f t="shared" si="20"/>
        <v>86822.400000000009</v>
      </c>
      <c r="AB53" s="612">
        <f t="shared" si="20"/>
        <v>86822.400000000009</v>
      </c>
      <c r="AC53" s="612">
        <f t="shared" si="20"/>
        <v>82759.44</v>
      </c>
      <c r="AD53" s="612">
        <f>+AD58+AD60+AD62+AD64+AD66+AD68+AD70+AD72+AD74+AD76+AD78+AD80+AD82+AD84+AD86+AD88+AD90+AD92+AD94+AD96</f>
        <v>82759.44</v>
      </c>
      <c r="AE53" s="608"/>
      <c r="AF53" s="1018"/>
      <c r="AG53" s="1004"/>
      <c r="AH53" s="1004"/>
      <c r="AI53" s="1004"/>
      <c r="AJ53" s="1004"/>
      <c r="AK53" s="1004"/>
      <c r="AL53" s="1004"/>
      <c r="AM53" s="1004"/>
      <c r="AN53" s="1004"/>
      <c r="AO53" s="1004"/>
      <c r="AP53" s="1004"/>
      <c r="AQ53" s="1004"/>
      <c r="AR53" s="1004"/>
      <c r="AS53" s="1004"/>
    </row>
    <row r="54" spans="2:45" s="112" customFormat="1" x14ac:dyDescent="0.2">
      <c r="B54" s="953"/>
      <c r="C54" s="607"/>
      <c r="D54" s="606" t="s">
        <v>509</v>
      </c>
      <c r="E54" s="609"/>
      <c r="F54" s="609"/>
      <c r="G54" s="995">
        <f t="shared" ref="G54:L54" si="21">G158</f>
        <v>773</v>
      </c>
      <c r="H54" s="995">
        <f t="shared" si="21"/>
        <v>450</v>
      </c>
      <c r="I54" s="995">
        <f t="shared" si="21"/>
        <v>456</v>
      </c>
      <c r="J54" s="995">
        <f t="shared" si="21"/>
        <v>456</v>
      </c>
      <c r="K54" s="995">
        <f t="shared" si="21"/>
        <v>456</v>
      </c>
      <c r="L54" s="995">
        <f t="shared" si="21"/>
        <v>456</v>
      </c>
      <c r="M54" s="995">
        <f>M158</f>
        <v>456</v>
      </c>
      <c r="N54" s="608"/>
      <c r="O54" s="839">
        <f t="shared" ref="O54:T54" si="22">+O158</f>
        <v>3447108</v>
      </c>
      <c r="P54" s="839">
        <f t="shared" si="22"/>
        <v>2006726</v>
      </c>
      <c r="Q54" s="839">
        <f t="shared" si="22"/>
        <v>2135361</v>
      </c>
      <c r="R54" s="839">
        <f t="shared" si="22"/>
        <v>2195581</v>
      </c>
      <c r="S54" s="839">
        <f t="shared" si="22"/>
        <v>2195581</v>
      </c>
      <c r="T54" s="839">
        <f t="shared" si="22"/>
        <v>2195581</v>
      </c>
      <c r="U54" s="839">
        <f>+U158</f>
        <v>2195581</v>
      </c>
      <c r="V54" s="608"/>
      <c r="W54" s="1272"/>
      <c r="X54" s="839">
        <f t="shared" ref="X54:AC54" si="23">+X158</f>
        <v>140292</v>
      </c>
      <c r="Y54" s="839">
        <f t="shared" si="23"/>
        <v>81671</v>
      </c>
      <c r="Z54" s="839">
        <f t="shared" si="23"/>
        <v>84862</v>
      </c>
      <c r="AA54" s="839">
        <f t="shared" si="23"/>
        <v>86822</v>
      </c>
      <c r="AB54" s="839">
        <f t="shared" si="23"/>
        <v>86822</v>
      </c>
      <c r="AC54" s="839">
        <f t="shared" si="23"/>
        <v>82759</v>
      </c>
      <c r="AD54" s="839">
        <f>+AD158</f>
        <v>82759</v>
      </c>
      <c r="AE54" s="608"/>
      <c r="AF54" s="1018"/>
      <c r="AG54" s="1004"/>
      <c r="AH54" s="1004"/>
      <c r="AI54" s="1004"/>
      <c r="AJ54" s="1004"/>
      <c r="AK54" s="1004"/>
      <c r="AL54" s="1004"/>
      <c r="AM54" s="1004"/>
      <c r="AN54" s="1004"/>
      <c r="AO54" s="1004"/>
      <c r="AP54" s="1004"/>
      <c r="AQ54" s="1004"/>
      <c r="AR54" s="1004"/>
      <c r="AS54" s="1004"/>
    </row>
    <row r="55" spans="2:45" s="112" customFormat="1" x14ac:dyDescent="0.2">
      <c r="B55" s="953"/>
      <c r="C55" s="120"/>
      <c r="D55" s="158" t="str">
        <f>IF(G52='geg ll'!G21,"","Sommatie klopt niet met eerdere opgave")</f>
        <v/>
      </c>
      <c r="E55" s="145"/>
      <c r="F55" s="145"/>
      <c r="G55" s="138"/>
      <c r="H55" s="138"/>
      <c r="I55" s="138"/>
      <c r="J55" s="138"/>
      <c r="K55" s="138"/>
      <c r="L55" s="138"/>
      <c r="M55" s="138"/>
      <c r="N55" s="138"/>
      <c r="O55" s="138"/>
      <c r="P55" s="138"/>
      <c r="Q55" s="138"/>
      <c r="R55" s="138"/>
      <c r="S55" s="138"/>
      <c r="T55" s="138"/>
      <c r="U55" s="138"/>
      <c r="V55" s="138"/>
      <c r="W55" s="1273"/>
      <c r="X55" s="138"/>
      <c r="Y55" s="138"/>
      <c r="Z55" s="138"/>
      <c r="AA55" s="138"/>
      <c r="AB55" s="138"/>
      <c r="AC55" s="138"/>
      <c r="AD55" s="138"/>
      <c r="AE55" s="138"/>
      <c r="AF55" s="975"/>
      <c r="AG55" s="1004"/>
      <c r="AH55" s="1004"/>
      <c r="AI55" s="1004"/>
      <c r="AJ55" s="1004"/>
      <c r="AK55" s="1004"/>
      <c r="AL55" s="1004"/>
      <c r="AM55" s="1004"/>
      <c r="AN55" s="1004"/>
      <c r="AO55" s="1004"/>
      <c r="AP55" s="1004"/>
      <c r="AQ55" s="1004"/>
      <c r="AR55" s="1004"/>
      <c r="AS55" s="1004"/>
    </row>
    <row r="56" spans="2:45" s="112" customFormat="1" ht="15.75" x14ac:dyDescent="0.25">
      <c r="B56" s="953"/>
      <c r="C56" s="1265"/>
      <c r="D56" s="1265" t="s">
        <v>507</v>
      </c>
      <c r="E56" s="1266" t="s">
        <v>508</v>
      </c>
      <c r="F56" s="1266"/>
      <c r="G56" s="1241"/>
      <c r="H56" s="1395"/>
      <c r="I56" s="1395" t="s">
        <v>616</v>
      </c>
      <c r="J56" s="1241"/>
      <c r="K56" s="1241"/>
      <c r="L56" s="1241"/>
      <c r="M56" s="1241"/>
      <c r="N56" s="1251"/>
      <c r="O56" s="1241"/>
      <c r="P56" s="1241"/>
      <c r="Q56" s="1241"/>
      <c r="R56" s="1241"/>
      <c r="S56" s="1241"/>
      <c r="T56" s="1350"/>
      <c r="U56" s="1350"/>
      <c r="V56" s="1251"/>
      <c r="W56" s="977"/>
      <c r="X56" s="1260"/>
      <c r="Y56" s="78"/>
      <c r="Z56" s="78"/>
      <c r="AA56" s="78"/>
      <c r="AB56" s="78"/>
      <c r="AC56" s="78"/>
      <c r="AD56" s="78"/>
      <c r="AE56" s="89"/>
      <c r="AF56" s="987"/>
      <c r="AG56" s="1004"/>
      <c r="AH56" s="1004"/>
      <c r="AI56" s="1004"/>
      <c r="AJ56" s="1004"/>
      <c r="AK56" s="1004"/>
      <c r="AL56" s="1004"/>
      <c r="AM56" s="1004"/>
      <c r="AN56" s="1004"/>
      <c r="AO56" s="1004"/>
      <c r="AP56" s="1004"/>
      <c r="AQ56" s="1004"/>
      <c r="AR56" s="1004"/>
      <c r="AS56" s="1004"/>
    </row>
    <row r="57" spans="2:45" s="112" customFormat="1" x14ac:dyDescent="0.2">
      <c r="B57" s="953"/>
      <c r="C57" s="70">
        <v>1</v>
      </c>
      <c r="D57" s="150" t="s">
        <v>621</v>
      </c>
      <c r="E57" s="831" t="s">
        <v>274</v>
      </c>
      <c r="F57" s="938" t="s">
        <v>503</v>
      </c>
      <c r="G57" s="996">
        <v>344</v>
      </c>
      <c r="H57" s="996">
        <v>28</v>
      </c>
      <c r="I57" s="996">
        <v>0</v>
      </c>
      <c r="J57" s="996">
        <f t="shared" ref="J57:K58" si="24">I57</f>
        <v>0</v>
      </c>
      <c r="K57" s="996">
        <f t="shared" si="24"/>
        <v>0</v>
      </c>
      <c r="L57" s="996">
        <f t="shared" ref="L57:M64" si="25">K57</f>
        <v>0</v>
      </c>
      <c r="M57" s="996">
        <f t="shared" si="25"/>
        <v>0</v>
      </c>
      <c r="N57" s="91"/>
      <c r="O57" s="67">
        <f>+G57*tab!E$20</f>
        <v>1534030.1600000001</v>
      </c>
      <c r="P57" s="67">
        <f>+H57*tab!E$20</f>
        <v>124862.92000000001</v>
      </c>
      <c r="Q57" s="67">
        <f>+I57*tab!F$20</f>
        <v>0</v>
      </c>
      <c r="R57" s="67">
        <f>+J57*tab!G$20</f>
        <v>0</v>
      </c>
      <c r="S57" s="67">
        <f>+K57*tab!H$20</f>
        <v>0</v>
      </c>
      <c r="T57" s="67">
        <f>+L57*tab!I$20</f>
        <v>0</v>
      </c>
      <c r="U57" s="67">
        <f>+M57*tab!J$20</f>
        <v>0</v>
      </c>
      <c r="V57" s="91"/>
      <c r="W57" s="1274"/>
      <c r="X57" s="1201">
        <f>+G57*tab!D$21</f>
        <v>62432.560000000005</v>
      </c>
      <c r="Y57" s="1201">
        <f>+H57*tab!E$21</f>
        <v>5081.72</v>
      </c>
      <c r="Z57" s="1201">
        <f>+I57*tab!F$21</f>
        <v>0</v>
      </c>
      <c r="AA57" s="1201">
        <f>+J57*tab!G$21</f>
        <v>0</v>
      </c>
      <c r="AB57" s="1201">
        <f>+K57*tab!H$21</f>
        <v>0</v>
      </c>
      <c r="AC57" s="1201">
        <f>+L57*tab!$D$21</f>
        <v>0</v>
      </c>
      <c r="AD57" s="1201">
        <f>+M57*tab!$D$21</f>
        <v>0</v>
      </c>
      <c r="AE57" s="91"/>
      <c r="AF57" s="1016"/>
      <c r="AG57" s="1004"/>
      <c r="AH57" s="1004"/>
      <c r="AI57" s="1004"/>
      <c r="AJ57" s="1004"/>
      <c r="AK57" s="1004"/>
      <c r="AL57" s="1004"/>
      <c r="AM57" s="1004"/>
      <c r="AN57" s="1004"/>
      <c r="AO57" s="1004"/>
      <c r="AP57" s="1004"/>
      <c r="AQ57" s="1004"/>
      <c r="AR57" s="1004"/>
      <c r="AS57" s="1004"/>
    </row>
    <row r="58" spans="2:45" s="112" customFormat="1" x14ac:dyDescent="0.2">
      <c r="B58" s="953"/>
      <c r="C58" s="70"/>
      <c r="D58" s="955"/>
      <c r="E58" s="1140"/>
      <c r="F58" s="938" t="s">
        <v>504</v>
      </c>
      <c r="G58" s="996">
        <v>429</v>
      </c>
      <c r="H58" s="996">
        <v>422</v>
      </c>
      <c r="I58" s="996">
        <v>456</v>
      </c>
      <c r="J58" s="996">
        <f t="shared" si="24"/>
        <v>456</v>
      </c>
      <c r="K58" s="996">
        <f t="shared" si="24"/>
        <v>456</v>
      </c>
      <c r="L58" s="996">
        <f t="shared" si="25"/>
        <v>456</v>
      </c>
      <c r="M58" s="996">
        <f t="shared" si="25"/>
        <v>456</v>
      </c>
      <c r="N58" s="91"/>
      <c r="O58" s="67">
        <f>+G58*tab!E$20</f>
        <v>1913078.31</v>
      </c>
      <c r="P58" s="67">
        <f>+H58*tab!E$20</f>
        <v>1881862.58</v>
      </c>
      <c r="Q58" s="67">
        <f>+I58*tab!F$20</f>
        <v>2135361.3600000003</v>
      </c>
      <c r="R58" s="67">
        <f>+J58*tab!G$20</f>
        <v>2195580.7199999997</v>
      </c>
      <c r="S58" s="67">
        <f>+K58*tab!H$20</f>
        <v>2195580.7199999997</v>
      </c>
      <c r="T58" s="67">
        <f>+L58*tab!I$20</f>
        <v>2195580.7199999997</v>
      </c>
      <c r="U58" s="67">
        <f>+M58*tab!J$20</f>
        <v>2195580.7199999997</v>
      </c>
      <c r="V58" s="91"/>
      <c r="W58" s="1274"/>
      <c r="X58" s="1201">
        <f>+G58*tab!D$21</f>
        <v>77859.210000000006</v>
      </c>
      <c r="Y58" s="1201">
        <f>+H58*tab!E$21</f>
        <v>76588.78</v>
      </c>
      <c r="Z58" s="1201">
        <f>+I58*tab!F$21</f>
        <v>84861.599999999991</v>
      </c>
      <c r="AA58" s="1201">
        <f>+J58*tab!G$21</f>
        <v>86822.400000000009</v>
      </c>
      <c r="AB58" s="1201">
        <f>+K58*tab!H$21</f>
        <v>86822.400000000009</v>
      </c>
      <c r="AC58" s="1201">
        <f>+L58*tab!$D$21</f>
        <v>82759.44</v>
      </c>
      <c r="AD58" s="1201">
        <f>+M58*tab!$D$21</f>
        <v>82759.44</v>
      </c>
      <c r="AE58" s="91"/>
      <c r="AF58" s="1016"/>
      <c r="AG58" s="1004"/>
      <c r="AH58" s="1004"/>
      <c r="AI58" s="1004"/>
      <c r="AJ58" s="1004"/>
      <c r="AK58" s="1004"/>
      <c r="AL58" s="1004"/>
      <c r="AM58" s="1004"/>
      <c r="AN58" s="1004"/>
      <c r="AO58" s="1004"/>
      <c r="AP58" s="1004"/>
      <c r="AQ58" s="1004"/>
      <c r="AR58" s="1004"/>
      <c r="AS58" s="1004"/>
    </row>
    <row r="59" spans="2:45" s="112" customFormat="1" x14ac:dyDescent="0.2">
      <c r="B59" s="953"/>
      <c r="C59" s="70">
        <v>2</v>
      </c>
      <c r="D59" s="150" t="s">
        <v>622</v>
      </c>
      <c r="E59" s="831" t="s">
        <v>274</v>
      </c>
      <c r="F59" s="938" t="s">
        <v>503</v>
      </c>
      <c r="G59" s="996">
        <v>0</v>
      </c>
      <c r="H59" s="996">
        <f t="shared" ref="H59:K64" si="26">G59</f>
        <v>0</v>
      </c>
      <c r="I59" s="996">
        <f t="shared" si="26"/>
        <v>0</v>
      </c>
      <c r="J59" s="996">
        <f t="shared" si="26"/>
        <v>0</v>
      </c>
      <c r="K59" s="996">
        <f t="shared" si="26"/>
        <v>0</v>
      </c>
      <c r="L59" s="996">
        <f t="shared" si="25"/>
        <v>0</v>
      </c>
      <c r="M59" s="996">
        <f t="shared" si="25"/>
        <v>0</v>
      </c>
      <c r="N59" s="91"/>
      <c r="O59" s="67">
        <f>+G59*tab!D$20</f>
        <v>0</v>
      </c>
      <c r="P59" s="67">
        <f>+H59*tab!E$20</f>
        <v>0</v>
      </c>
      <c r="Q59" s="67">
        <f>+I59*tab!F$20</f>
        <v>0</v>
      </c>
      <c r="R59" s="67">
        <f>+J59*tab!G$20</f>
        <v>0</v>
      </c>
      <c r="S59" s="67">
        <f>+K59*tab!H$20</f>
        <v>0</v>
      </c>
      <c r="T59" s="67">
        <f>+L59*tab!I$20</f>
        <v>0</v>
      </c>
      <c r="U59" s="67">
        <f>+M59*tab!J$20</f>
        <v>0</v>
      </c>
      <c r="V59" s="91"/>
      <c r="W59" s="1274"/>
      <c r="X59" s="1201">
        <f>+G59*tab!D$21</f>
        <v>0</v>
      </c>
      <c r="Y59" s="1201">
        <f>+H59*tab!E$21</f>
        <v>0</v>
      </c>
      <c r="Z59" s="1201">
        <f>+I59*tab!F$21</f>
        <v>0</v>
      </c>
      <c r="AA59" s="1201">
        <f>+J59*tab!G$21</f>
        <v>0</v>
      </c>
      <c r="AB59" s="1201">
        <f>+K59*tab!H$21</f>
        <v>0</v>
      </c>
      <c r="AC59" s="1201">
        <f>+L59*tab!$D$21</f>
        <v>0</v>
      </c>
      <c r="AD59" s="1201">
        <f>+M59*tab!$D$21</f>
        <v>0</v>
      </c>
      <c r="AE59" s="91"/>
      <c r="AF59" s="1016"/>
      <c r="AG59" s="1004"/>
      <c r="AH59" s="1004"/>
      <c r="AI59" s="1004"/>
      <c r="AJ59" s="1004"/>
      <c r="AK59" s="1004"/>
      <c r="AL59" s="1004"/>
      <c r="AM59" s="1004"/>
      <c r="AN59" s="1004"/>
      <c r="AO59" s="1004"/>
      <c r="AP59" s="1004"/>
      <c r="AQ59" s="1004"/>
      <c r="AR59" s="1004"/>
      <c r="AS59" s="1004"/>
    </row>
    <row r="60" spans="2:45" s="112" customFormat="1" x14ac:dyDescent="0.2">
      <c r="B60" s="953"/>
      <c r="C60" s="70"/>
      <c r="D60" s="955"/>
      <c r="E60" s="1140"/>
      <c r="F60" s="938" t="s">
        <v>504</v>
      </c>
      <c r="G60" s="996">
        <v>0</v>
      </c>
      <c r="H60" s="996">
        <f t="shared" si="26"/>
        <v>0</v>
      </c>
      <c r="I60" s="996">
        <f t="shared" si="26"/>
        <v>0</v>
      </c>
      <c r="J60" s="996">
        <f t="shared" si="26"/>
        <v>0</v>
      </c>
      <c r="K60" s="996">
        <f t="shared" si="26"/>
        <v>0</v>
      </c>
      <c r="L60" s="996">
        <f t="shared" si="25"/>
        <v>0</v>
      </c>
      <c r="M60" s="996">
        <f t="shared" si="25"/>
        <v>0</v>
      </c>
      <c r="N60" s="91"/>
      <c r="O60" s="67">
        <f>+G60*tab!D$20</f>
        <v>0</v>
      </c>
      <c r="P60" s="67">
        <f>+H60*tab!E$20</f>
        <v>0</v>
      </c>
      <c r="Q60" s="67">
        <f>+I60*tab!F$20</f>
        <v>0</v>
      </c>
      <c r="R60" s="67">
        <f>+J60*tab!G$20</f>
        <v>0</v>
      </c>
      <c r="S60" s="67">
        <f>+K60*tab!H$20</f>
        <v>0</v>
      </c>
      <c r="T60" s="67">
        <f>+L60*tab!I$20</f>
        <v>0</v>
      </c>
      <c r="U60" s="67">
        <f>+M60*tab!J$20</f>
        <v>0</v>
      </c>
      <c r="V60" s="91"/>
      <c r="W60" s="1274"/>
      <c r="X60" s="1201">
        <f>+G60*tab!D$21</f>
        <v>0</v>
      </c>
      <c r="Y60" s="1201">
        <f>+H60*tab!E$21</f>
        <v>0</v>
      </c>
      <c r="Z60" s="1201">
        <f>+I60*tab!F$21</f>
        <v>0</v>
      </c>
      <c r="AA60" s="1201">
        <f>+J60*tab!G$21</f>
        <v>0</v>
      </c>
      <c r="AB60" s="1201">
        <f>+K60*tab!H$21</f>
        <v>0</v>
      </c>
      <c r="AC60" s="1201">
        <f>+L60*tab!$D$21</f>
        <v>0</v>
      </c>
      <c r="AD60" s="1201">
        <f>+M60*tab!$D$21</f>
        <v>0</v>
      </c>
      <c r="AE60" s="91"/>
      <c r="AF60" s="1016"/>
      <c r="AG60" s="1004"/>
      <c r="AH60" s="1004"/>
      <c r="AI60" s="1004"/>
      <c r="AJ60" s="1004"/>
      <c r="AK60" s="1004"/>
      <c r="AL60" s="1004"/>
      <c r="AM60" s="1004"/>
      <c r="AN60" s="1004"/>
      <c r="AO60" s="1004"/>
      <c r="AP60" s="1004"/>
      <c r="AQ60" s="1004"/>
      <c r="AR60" s="1004"/>
      <c r="AS60" s="1004"/>
    </row>
    <row r="61" spans="2:45" s="112" customFormat="1" x14ac:dyDescent="0.2">
      <c r="B61" s="953"/>
      <c r="C61" s="70">
        <v>3</v>
      </c>
      <c r="D61" s="150" t="s">
        <v>623</v>
      </c>
      <c r="E61" s="831" t="s">
        <v>274</v>
      </c>
      <c r="F61" s="938" t="s">
        <v>503</v>
      </c>
      <c r="G61" s="996">
        <v>0</v>
      </c>
      <c r="H61" s="996">
        <f t="shared" si="26"/>
        <v>0</v>
      </c>
      <c r="I61" s="996">
        <f t="shared" si="26"/>
        <v>0</v>
      </c>
      <c r="J61" s="996">
        <f t="shared" si="26"/>
        <v>0</v>
      </c>
      <c r="K61" s="996">
        <f t="shared" si="26"/>
        <v>0</v>
      </c>
      <c r="L61" s="996">
        <f t="shared" si="25"/>
        <v>0</v>
      </c>
      <c r="M61" s="996">
        <f t="shared" si="25"/>
        <v>0</v>
      </c>
      <c r="N61" s="91"/>
      <c r="O61" s="67">
        <f>+G61*tab!D$20</f>
        <v>0</v>
      </c>
      <c r="P61" s="67">
        <f>+H61*tab!E$20</f>
        <v>0</v>
      </c>
      <c r="Q61" s="67">
        <f>+I61*tab!F$20</f>
        <v>0</v>
      </c>
      <c r="R61" s="67">
        <f>+J61*tab!G$20</f>
        <v>0</v>
      </c>
      <c r="S61" s="67">
        <f>+K61*tab!H$20</f>
        <v>0</v>
      </c>
      <c r="T61" s="67">
        <f>+L61*tab!I$20</f>
        <v>0</v>
      </c>
      <c r="U61" s="67">
        <f>+M61*tab!J$20</f>
        <v>0</v>
      </c>
      <c r="V61" s="91"/>
      <c r="W61" s="1274"/>
      <c r="X61" s="1201">
        <f>+G61*tab!D$21</f>
        <v>0</v>
      </c>
      <c r="Y61" s="1201">
        <f>+H61*tab!E$21</f>
        <v>0</v>
      </c>
      <c r="Z61" s="1201">
        <f>+I61*tab!F$21</f>
        <v>0</v>
      </c>
      <c r="AA61" s="1201">
        <f>+J61*tab!G$21</f>
        <v>0</v>
      </c>
      <c r="AB61" s="1201">
        <f>+K61*tab!H$21</f>
        <v>0</v>
      </c>
      <c r="AC61" s="1201">
        <f>+L61*tab!$D$21</f>
        <v>0</v>
      </c>
      <c r="AD61" s="1201">
        <f>+M61*tab!$D$21</f>
        <v>0</v>
      </c>
      <c r="AE61" s="91"/>
      <c r="AF61" s="1016"/>
      <c r="AG61" s="1004"/>
      <c r="AH61" s="1004"/>
      <c r="AI61" s="1004"/>
      <c r="AJ61" s="1004"/>
      <c r="AK61" s="1004"/>
      <c r="AL61" s="1004"/>
      <c r="AM61" s="1004"/>
      <c r="AN61" s="1004"/>
      <c r="AO61" s="1004"/>
      <c r="AP61" s="1004"/>
      <c r="AQ61" s="1004"/>
      <c r="AR61" s="1004"/>
      <c r="AS61" s="1004"/>
    </row>
    <row r="62" spans="2:45" s="112" customFormat="1" x14ac:dyDescent="0.2">
      <c r="B62" s="953"/>
      <c r="C62" s="70"/>
      <c r="D62" s="955"/>
      <c r="E62" s="1140"/>
      <c r="F62" s="938" t="s">
        <v>504</v>
      </c>
      <c r="G62" s="996">
        <v>0</v>
      </c>
      <c r="H62" s="996">
        <f t="shared" si="26"/>
        <v>0</v>
      </c>
      <c r="I62" s="996">
        <f t="shared" si="26"/>
        <v>0</v>
      </c>
      <c r="J62" s="996">
        <f t="shared" si="26"/>
        <v>0</v>
      </c>
      <c r="K62" s="996">
        <f t="shared" si="26"/>
        <v>0</v>
      </c>
      <c r="L62" s="996">
        <f t="shared" si="25"/>
        <v>0</v>
      </c>
      <c r="M62" s="996">
        <f t="shared" si="25"/>
        <v>0</v>
      </c>
      <c r="N62" s="91"/>
      <c r="O62" s="67">
        <f>+G62*tab!D$20</f>
        <v>0</v>
      </c>
      <c r="P62" s="67">
        <f>+H62*tab!E$20</f>
        <v>0</v>
      </c>
      <c r="Q62" s="67">
        <f>+I62*tab!F$20</f>
        <v>0</v>
      </c>
      <c r="R62" s="67">
        <f>+J62*tab!G$20</f>
        <v>0</v>
      </c>
      <c r="S62" s="67">
        <f>+K62*tab!H$20</f>
        <v>0</v>
      </c>
      <c r="T62" s="67">
        <f>+L62*tab!I$20</f>
        <v>0</v>
      </c>
      <c r="U62" s="67">
        <f>+M62*tab!J$20</f>
        <v>0</v>
      </c>
      <c r="V62" s="91"/>
      <c r="W62" s="1274"/>
      <c r="X62" s="1201">
        <f>+G62*tab!D$21</f>
        <v>0</v>
      </c>
      <c r="Y62" s="1201">
        <f>+H62*tab!E$21</f>
        <v>0</v>
      </c>
      <c r="Z62" s="1201">
        <f>+I62*tab!F$21</f>
        <v>0</v>
      </c>
      <c r="AA62" s="1201">
        <f>+J62*tab!G$21</f>
        <v>0</v>
      </c>
      <c r="AB62" s="1201">
        <f>+K62*tab!H$21</f>
        <v>0</v>
      </c>
      <c r="AC62" s="1201">
        <f>+L62*tab!$D$21</f>
        <v>0</v>
      </c>
      <c r="AD62" s="1201">
        <f>+M62*tab!$D$21</f>
        <v>0</v>
      </c>
      <c r="AE62" s="91"/>
      <c r="AF62" s="1016"/>
      <c r="AG62" s="1004"/>
      <c r="AH62" s="1004"/>
      <c r="AI62" s="1004"/>
      <c r="AJ62" s="1004"/>
      <c r="AK62" s="1004"/>
      <c r="AL62" s="1004"/>
      <c r="AM62" s="1004"/>
      <c r="AN62" s="1004"/>
      <c r="AO62" s="1004"/>
      <c r="AP62" s="1004"/>
      <c r="AQ62" s="1004"/>
      <c r="AR62" s="1004"/>
      <c r="AS62" s="1004"/>
    </row>
    <row r="63" spans="2:45" s="112" customFormat="1" x14ac:dyDescent="0.2">
      <c r="B63" s="953"/>
      <c r="C63" s="70">
        <v>4</v>
      </c>
      <c r="D63" s="150" t="s">
        <v>624</v>
      </c>
      <c r="E63" s="831" t="s">
        <v>274</v>
      </c>
      <c r="F63" s="938" t="s">
        <v>503</v>
      </c>
      <c r="G63" s="996">
        <v>0</v>
      </c>
      <c r="H63" s="996">
        <f t="shared" si="26"/>
        <v>0</v>
      </c>
      <c r="I63" s="996">
        <f t="shared" si="26"/>
        <v>0</v>
      </c>
      <c r="J63" s="996">
        <f t="shared" si="26"/>
        <v>0</v>
      </c>
      <c r="K63" s="996">
        <f t="shared" si="26"/>
        <v>0</v>
      </c>
      <c r="L63" s="996">
        <f t="shared" si="25"/>
        <v>0</v>
      </c>
      <c r="M63" s="996">
        <f t="shared" si="25"/>
        <v>0</v>
      </c>
      <c r="N63" s="91"/>
      <c r="O63" s="67">
        <f>+G63*tab!D$20</f>
        <v>0</v>
      </c>
      <c r="P63" s="67">
        <f>+H63*tab!E$20</f>
        <v>0</v>
      </c>
      <c r="Q63" s="67">
        <f>+I63*tab!F$20</f>
        <v>0</v>
      </c>
      <c r="R63" s="67">
        <f>+J63*tab!G$20</f>
        <v>0</v>
      </c>
      <c r="S63" s="67">
        <f>+K63*tab!H$20</f>
        <v>0</v>
      </c>
      <c r="T63" s="67">
        <f>+L63*tab!I$20</f>
        <v>0</v>
      </c>
      <c r="U63" s="67">
        <f>+M63*tab!J$20</f>
        <v>0</v>
      </c>
      <c r="V63" s="91"/>
      <c r="W63" s="1274"/>
      <c r="X63" s="1201">
        <f>+G63*tab!D$21</f>
        <v>0</v>
      </c>
      <c r="Y63" s="1201">
        <f>+H63*tab!E$21</f>
        <v>0</v>
      </c>
      <c r="Z63" s="1201">
        <f>+I63*tab!F$21</f>
        <v>0</v>
      </c>
      <c r="AA63" s="1201">
        <f>+J63*tab!G$21</f>
        <v>0</v>
      </c>
      <c r="AB63" s="1201">
        <f>+K63*tab!H$21</f>
        <v>0</v>
      </c>
      <c r="AC63" s="1201">
        <f>+L63*tab!$D$21</f>
        <v>0</v>
      </c>
      <c r="AD63" s="1201">
        <f>+M63*tab!$D$21</f>
        <v>0</v>
      </c>
      <c r="AE63" s="91"/>
      <c r="AF63" s="1016"/>
      <c r="AG63" s="1004"/>
      <c r="AH63" s="1004"/>
      <c r="AI63" s="1004"/>
      <c r="AJ63" s="1004"/>
      <c r="AK63" s="1004"/>
      <c r="AL63" s="1004"/>
      <c r="AM63" s="1004"/>
      <c r="AN63" s="1004"/>
      <c r="AO63" s="1004"/>
      <c r="AP63" s="1004"/>
      <c r="AQ63" s="1004"/>
      <c r="AR63" s="1004"/>
      <c r="AS63" s="1004"/>
    </row>
    <row r="64" spans="2:45" s="112" customFormat="1" x14ac:dyDescent="0.2">
      <c r="B64" s="953"/>
      <c r="C64" s="70"/>
      <c r="D64" s="955"/>
      <c r="E64" s="1140"/>
      <c r="F64" s="938" t="s">
        <v>504</v>
      </c>
      <c r="G64" s="996">
        <v>0</v>
      </c>
      <c r="H64" s="996">
        <f t="shared" si="26"/>
        <v>0</v>
      </c>
      <c r="I64" s="996">
        <f>H64</f>
        <v>0</v>
      </c>
      <c r="J64" s="996">
        <f t="shared" si="26"/>
        <v>0</v>
      </c>
      <c r="K64" s="996">
        <f t="shared" si="26"/>
        <v>0</v>
      </c>
      <c r="L64" s="996">
        <f t="shared" si="25"/>
        <v>0</v>
      </c>
      <c r="M64" s="996">
        <f t="shared" si="25"/>
        <v>0</v>
      </c>
      <c r="N64" s="91"/>
      <c r="O64" s="67">
        <f>+G64*tab!D$20</f>
        <v>0</v>
      </c>
      <c r="P64" s="67">
        <f>+H64*tab!E$20</f>
        <v>0</v>
      </c>
      <c r="Q64" s="67">
        <f>+I64*tab!F$20</f>
        <v>0</v>
      </c>
      <c r="R64" s="67">
        <f>+J64*tab!G$20</f>
        <v>0</v>
      </c>
      <c r="S64" s="67">
        <f>+K64*tab!H$20</f>
        <v>0</v>
      </c>
      <c r="T64" s="67">
        <f>+L64*tab!I$20</f>
        <v>0</v>
      </c>
      <c r="U64" s="67">
        <f>+M64*tab!J$20</f>
        <v>0</v>
      </c>
      <c r="V64" s="91"/>
      <c r="W64" s="1274"/>
      <c r="X64" s="1201">
        <f>+G64*tab!D$21</f>
        <v>0</v>
      </c>
      <c r="Y64" s="1201">
        <f>+H64*tab!E$21</f>
        <v>0</v>
      </c>
      <c r="Z64" s="1201">
        <f>+I64*tab!F$21</f>
        <v>0</v>
      </c>
      <c r="AA64" s="1201">
        <f>+J64*tab!G$21</f>
        <v>0</v>
      </c>
      <c r="AB64" s="1201">
        <f>+K64*tab!H$21</f>
        <v>0</v>
      </c>
      <c r="AC64" s="1201">
        <f>+L64*tab!$D$21</f>
        <v>0</v>
      </c>
      <c r="AD64" s="1201">
        <f>+M64*tab!$D$21</f>
        <v>0</v>
      </c>
      <c r="AE64" s="91"/>
      <c r="AF64" s="1016"/>
      <c r="AG64" s="1004"/>
      <c r="AH64" s="1004"/>
      <c r="AI64" s="1004"/>
      <c r="AJ64" s="1004"/>
      <c r="AK64" s="1004"/>
      <c r="AL64" s="1004"/>
      <c r="AM64" s="1004"/>
      <c r="AN64" s="1004"/>
      <c r="AO64" s="1004"/>
      <c r="AP64" s="1004"/>
      <c r="AQ64" s="1004"/>
      <c r="AR64" s="1004"/>
      <c r="AS64" s="1004"/>
    </row>
    <row r="65" spans="2:45" s="112" customFormat="1" x14ac:dyDescent="0.2">
      <c r="B65" s="953"/>
      <c r="C65" s="70">
        <v>5</v>
      </c>
      <c r="D65" s="150" t="s">
        <v>625</v>
      </c>
      <c r="E65" s="831" t="s">
        <v>274</v>
      </c>
      <c r="F65" s="938" t="s">
        <v>503</v>
      </c>
      <c r="G65" s="996">
        <v>0</v>
      </c>
      <c r="H65" s="996">
        <f t="shared" ref="H65:K73" si="27">+G65</f>
        <v>0</v>
      </c>
      <c r="I65" s="996">
        <f t="shared" si="27"/>
        <v>0</v>
      </c>
      <c r="J65" s="996">
        <f t="shared" si="27"/>
        <v>0</v>
      </c>
      <c r="K65" s="996">
        <f t="shared" si="27"/>
        <v>0</v>
      </c>
      <c r="L65" s="996">
        <f t="shared" ref="L65:M73" si="28">+K65</f>
        <v>0</v>
      </c>
      <c r="M65" s="996">
        <f t="shared" si="28"/>
        <v>0</v>
      </c>
      <c r="N65" s="91"/>
      <c r="O65" s="67">
        <f>+G65*tab!D$20</f>
        <v>0</v>
      </c>
      <c r="P65" s="67">
        <f>+H65*tab!E$20</f>
        <v>0</v>
      </c>
      <c r="Q65" s="67">
        <f>+I65*tab!F$20</f>
        <v>0</v>
      </c>
      <c r="R65" s="67">
        <f>+J65*tab!G$20</f>
        <v>0</v>
      </c>
      <c r="S65" s="67">
        <f>+K65*tab!H$20</f>
        <v>0</v>
      </c>
      <c r="T65" s="67">
        <f>+L65*tab!I$20</f>
        <v>0</v>
      </c>
      <c r="U65" s="67">
        <f>+M65*tab!J$20</f>
        <v>0</v>
      </c>
      <c r="V65" s="91"/>
      <c r="W65" s="1274"/>
      <c r="X65" s="1201">
        <f>+G65*tab!D$21</f>
        <v>0</v>
      </c>
      <c r="Y65" s="1201">
        <f>+H65*tab!E$21</f>
        <v>0</v>
      </c>
      <c r="Z65" s="1201">
        <f>+I65*tab!F$21</f>
        <v>0</v>
      </c>
      <c r="AA65" s="1201">
        <f>+J65*tab!G$21</f>
        <v>0</v>
      </c>
      <c r="AB65" s="1201">
        <f>+K65*tab!H$21</f>
        <v>0</v>
      </c>
      <c r="AC65" s="1201">
        <f>+L65*tab!$D$21</f>
        <v>0</v>
      </c>
      <c r="AD65" s="1201">
        <f>+M65*tab!$D$21</f>
        <v>0</v>
      </c>
      <c r="AE65" s="91"/>
      <c r="AF65" s="1016"/>
      <c r="AG65" s="1004"/>
      <c r="AH65" s="1004"/>
      <c r="AI65" s="1004"/>
      <c r="AJ65" s="1004"/>
      <c r="AK65" s="1004"/>
      <c r="AL65" s="1004"/>
      <c r="AM65" s="1004"/>
      <c r="AN65" s="1004"/>
      <c r="AO65" s="1004"/>
      <c r="AP65" s="1004"/>
      <c r="AQ65" s="1004"/>
      <c r="AR65" s="1004"/>
      <c r="AS65" s="1004"/>
    </row>
    <row r="66" spans="2:45" s="112" customFormat="1" x14ac:dyDescent="0.2">
      <c r="B66" s="953"/>
      <c r="C66" s="70"/>
      <c r="D66" s="955"/>
      <c r="E66" s="1140"/>
      <c r="F66" s="938" t="s">
        <v>504</v>
      </c>
      <c r="G66" s="996">
        <v>0</v>
      </c>
      <c r="H66" s="996">
        <f t="shared" si="27"/>
        <v>0</v>
      </c>
      <c r="I66" s="996">
        <f t="shared" si="27"/>
        <v>0</v>
      </c>
      <c r="J66" s="996">
        <f t="shared" si="27"/>
        <v>0</v>
      </c>
      <c r="K66" s="996">
        <f t="shared" si="27"/>
        <v>0</v>
      </c>
      <c r="L66" s="996">
        <f t="shared" si="28"/>
        <v>0</v>
      </c>
      <c r="M66" s="996">
        <f t="shared" si="28"/>
        <v>0</v>
      </c>
      <c r="N66" s="91"/>
      <c r="O66" s="67">
        <f>+G66*tab!D$20</f>
        <v>0</v>
      </c>
      <c r="P66" s="67">
        <f>+H66*tab!E$20</f>
        <v>0</v>
      </c>
      <c r="Q66" s="67">
        <f>+I66*tab!F$20</f>
        <v>0</v>
      </c>
      <c r="R66" s="67">
        <f>+J66*tab!G$20</f>
        <v>0</v>
      </c>
      <c r="S66" s="67">
        <f>+K66*tab!H$20</f>
        <v>0</v>
      </c>
      <c r="T66" s="67">
        <f>+L66*tab!I$20</f>
        <v>0</v>
      </c>
      <c r="U66" s="67">
        <f>+M66*tab!J$20</f>
        <v>0</v>
      </c>
      <c r="V66" s="91"/>
      <c r="W66" s="1274"/>
      <c r="X66" s="1201">
        <f>+G66*tab!D$21</f>
        <v>0</v>
      </c>
      <c r="Y66" s="1201">
        <f>+H66*tab!E$21</f>
        <v>0</v>
      </c>
      <c r="Z66" s="1201">
        <f>+I66*tab!F$21</f>
        <v>0</v>
      </c>
      <c r="AA66" s="1201">
        <f>+J66*tab!G$21</f>
        <v>0</v>
      </c>
      <c r="AB66" s="1201">
        <f>+K66*tab!H$21</f>
        <v>0</v>
      </c>
      <c r="AC66" s="1201">
        <f>+L66*tab!$D$21</f>
        <v>0</v>
      </c>
      <c r="AD66" s="1201">
        <f>+M66*tab!$D$21</f>
        <v>0</v>
      </c>
      <c r="AE66" s="91"/>
      <c r="AF66" s="1016"/>
      <c r="AG66" s="1004"/>
      <c r="AH66" s="1004"/>
      <c r="AI66" s="1004"/>
      <c r="AJ66" s="1004"/>
      <c r="AK66" s="1004"/>
      <c r="AL66" s="1004"/>
      <c r="AM66" s="1004"/>
      <c r="AN66" s="1004"/>
      <c r="AO66" s="1004"/>
      <c r="AP66" s="1004"/>
      <c r="AQ66" s="1004"/>
      <c r="AR66" s="1004"/>
      <c r="AS66" s="1004"/>
    </row>
    <row r="67" spans="2:45" s="112" customFormat="1" x14ac:dyDescent="0.2">
      <c r="B67" s="953"/>
      <c r="C67" s="70">
        <v>6</v>
      </c>
      <c r="D67" s="150" t="s">
        <v>626</v>
      </c>
      <c r="E67" s="831" t="s">
        <v>274</v>
      </c>
      <c r="F67" s="938" t="s">
        <v>503</v>
      </c>
      <c r="G67" s="996">
        <v>0</v>
      </c>
      <c r="H67" s="996">
        <f t="shared" si="27"/>
        <v>0</v>
      </c>
      <c r="I67" s="996">
        <f t="shared" si="27"/>
        <v>0</v>
      </c>
      <c r="J67" s="996">
        <f t="shared" si="27"/>
        <v>0</v>
      </c>
      <c r="K67" s="996">
        <f t="shared" si="27"/>
        <v>0</v>
      </c>
      <c r="L67" s="996">
        <f t="shared" si="28"/>
        <v>0</v>
      </c>
      <c r="M67" s="996">
        <f t="shared" si="28"/>
        <v>0</v>
      </c>
      <c r="N67" s="91"/>
      <c r="O67" s="67">
        <f>+G67*tab!D$20</f>
        <v>0</v>
      </c>
      <c r="P67" s="67">
        <f>+H67*tab!E$20</f>
        <v>0</v>
      </c>
      <c r="Q67" s="67">
        <f>+I67*tab!F$20</f>
        <v>0</v>
      </c>
      <c r="R67" s="67">
        <f>+J67*tab!G$20</f>
        <v>0</v>
      </c>
      <c r="S67" s="67">
        <f>+K67*tab!H$20</f>
        <v>0</v>
      </c>
      <c r="T67" s="67">
        <f>+L67*tab!I$20</f>
        <v>0</v>
      </c>
      <c r="U67" s="67">
        <f>+M67*tab!J$20</f>
        <v>0</v>
      </c>
      <c r="V67" s="91"/>
      <c r="W67" s="1274"/>
      <c r="X67" s="1201">
        <f>+G67*tab!D$21</f>
        <v>0</v>
      </c>
      <c r="Y67" s="1201">
        <f>+H67*tab!E$21</f>
        <v>0</v>
      </c>
      <c r="Z67" s="1201">
        <f>+I67*tab!F$21</f>
        <v>0</v>
      </c>
      <c r="AA67" s="1201">
        <f>+J67*tab!G$21</f>
        <v>0</v>
      </c>
      <c r="AB67" s="1201">
        <f>+K67*tab!H$21</f>
        <v>0</v>
      </c>
      <c r="AC67" s="1201">
        <f>+L67*tab!$D$21</f>
        <v>0</v>
      </c>
      <c r="AD67" s="1201">
        <f>+M67*tab!$D$21</f>
        <v>0</v>
      </c>
      <c r="AE67" s="91"/>
      <c r="AF67" s="1016"/>
      <c r="AG67" s="1004"/>
      <c r="AH67" s="1004"/>
      <c r="AI67" s="1004"/>
      <c r="AJ67" s="1004"/>
      <c r="AK67" s="1004"/>
      <c r="AL67" s="1004"/>
      <c r="AM67" s="1004"/>
      <c r="AN67" s="1004"/>
      <c r="AO67" s="1004"/>
      <c r="AP67" s="1004"/>
      <c r="AQ67" s="1004"/>
      <c r="AR67" s="1004"/>
      <c r="AS67" s="1004"/>
    </row>
    <row r="68" spans="2:45" s="112" customFormat="1" x14ac:dyDescent="0.2">
      <c r="B68" s="953"/>
      <c r="C68" s="70"/>
      <c r="D68" s="955"/>
      <c r="E68" s="1140"/>
      <c r="F68" s="938" t="s">
        <v>504</v>
      </c>
      <c r="G68" s="996">
        <v>0</v>
      </c>
      <c r="H68" s="996">
        <f t="shared" si="27"/>
        <v>0</v>
      </c>
      <c r="I68" s="996">
        <f t="shared" si="27"/>
        <v>0</v>
      </c>
      <c r="J68" s="996">
        <f t="shared" si="27"/>
        <v>0</v>
      </c>
      <c r="K68" s="996">
        <f t="shared" si="27"/>
        <v>0</v>
      </c>
      <c r="L68" s="996">
        <f t="shared" si="28"/>
        <v>0</v>
      </c>
      <c r="M68" s="996">
        <f t="shared" si="28"/>
        <v>0</v>
      </c>
      <c r="N68" s="91"/>
      <c r="O68" s="67">
        <f>+G68*tab!D$20</f>
        <v>0</v>
      </c>
      <c r="P68" s="67">
        <f>+H68*tab!E$20</f>
        <v>0</v>
      </c>
      <c r="Q68" s="67">
        <f>+I68*tab!F$20</f>
        <v>0</v>
      </c>
      <c r="R68" s="67">
        <f>+J68*tab!G$20</f>
        <v>0</v>
      </c>
      <c r="S68" s="67">
        <f>+K68*tab!H$20</f>
        <v>0</v>
      </c>
      <c r="T68" s="67">
        <f>+L68*tab!I$20</f>
        <v>0</v>
      </c>
      <c r="U68" s="67">
        <f>+M68*tab!J$20</f>
        <v>0</v>
      </c>
      <c r="V68" s="91"/>
      <c r="W68" s="1274"/>
      <c r="X68" s="1201">
        <f>+G68*tab!D$21</f>
        <v>0</v>
      </c>
      <c r="Y68" s="1201">
        <f>+H68*tab!E$21</f>
        <v>0</v>
      </c>
      <c r="Z68" s="1201">
        <f>+I68*tab!F$21</f>
        <v>0</v>
      </c>
      <c r="AA68" s="1201">
        <f>+J68*tab!G$21</f>
        <v>0</v>
      </c>
      <c r="AB68" s="1201">
        <f>+K68*tab!H$21</f>
        <v>0</v>
      </c>
      <c r="AC68" s="1201">
        <f>+L68*tab!$D$21</f>
        <v>0</v>
      </c>
      <c r="AD68" s="1201">
        <f>+M68*tab!$D$21</f>
        <v>0</v>
      </c>
      <c r="AE68" s="91"/>
      <c r="AF68" s="1016"/>
      <c r="AG68" s="1004"/>
      <c r="AH68" s="1004"/>
      <c r="AI68" s="1004"/>
      <c r="AJ68" s="1004"/>
      <c r="AK68" s="1004"/>
      <c r="AL68" s="1004"/>
      <c r="AM68" s="1004"/>
      <c r="AN68" s="1004"/>
      <c r="AO68" s="1004"/>
      <c r="AP68" s="1004"/>
      <c r="AQ68" s="1004"/>
      <c r="AR68" s="1004"/>
      <c r="AS68" s="1004"/>
    </row>
    <row r="69" spans="2:45" s="112" customFormat="1" x14ac:dyDescent="0.2">
      <c r="B69" s="953"/>
      <c r="C69" s="70">
        <v>7</v>
      </c>
      <c r="D69" s="150" t="s">
        <v>627</v>
      </c>
      <c r="E69" s="831" t="s">
        <v>274</v>
      </c>
      <c r="F69" s="938" t="s">
        <v>503</v>
      </c>
      <c r="G69" s="996">
        <v>0</v>
      </c>
      <c r="H69" s="996">
        <f t="shared" si="27"/>
        <v>0</v>
      </c>
      <c r="I69" s="996">
        <f t="shared" si="27"/>
        <v>0</v>
      </c>
      <c r="J69" s="996">
        <f t="shared" si="27"/>
        <v>0</v>
      </c>
      <c r="K69" s="996">
        <f t="shared" si="27"/>
        <v>0</v>
      </c>
      <c r="L69" s="996">
        <f t="shared" si="28"/>
        <v>0</v>
      </c>
      <c r="M69" s="996">
        <f t="shared" si="28"/>
        <v>0</v>
      </c>
      <c r="N69" s="91"/>
      <c r="O69" s="67">
        <f>+G69*tab!D$20</f>
        <v>0</v>
      </c>
      <c r="P69" s="67">
        <f>+H69*tab!E$20</f>
        <v>0</v>
      </c>
      <c r="Q69" s="67">
        <f>+I69*tab!F$20</f>
        <v>0</v>
      </c>
      <c r="R69" s="67">
        <f>+J69*tab!G$20</f>
        <v>0</v>
      </c>
      <c r="S69" s="67">
        <f>+K69*tab!H$20</f>
        <v>0</v>
      </c>
      <c r="T69" s="67">
        <f>+L69*tab!I$20</f>
        <v>0</v>
      </c>
      <c r="U69" s="67">
        <f>+M69*tab!J$20</f>
        <v>0</v>
      </c>
      <c r="V69" s="91"/>
      <c r="W69" s="1274"/>
      <c r="X69" s="1201">
        <f>+G69*tab!D$21</f>
        <v>0</v>
      </c>
      <c r="Y69" s="1201">
        <f>+H69*tab!E$21</f>
        <v>0</v>
      </c>
      <c r="Z69" s="1201">
        <f>+I69*tab!F$21</f>
        <v>0</v>
      </c>
      <c r="AA69" s="1201">
        <f>+J69*tab!G$21</f>
        <v>0</v>
      </c>
      <c r="AB69" s="1201">
        <f>+K69*tab!H$21</f>
        <v>0</v>
      </c>
      <c r="AC69" s="1201">
        <f>+L69*tab!$D$21</f>
        <v>0</v>
      </c>
      <c r="AD69" s="1201">
        <f>+M69*tab!$D$21</f>
        <v>0</v>
      </c>
      <c r="AE69" s="91"/>
      <c r="AF69" s="1016"/>
      <c r="AG69" s="1004"/>
      <c r="AH69" s="1004"/>
      <c r="AI69" s="1004"/>
      <c r="AJ69" s="1004"/>
      <c r="AK69" s="1004"/>
      <c r="AL69" s="1004"/>
      <c r="AM69" s="1004"/>
      <c r="AN69" s="1004"/>
      <c r="AO69" s="1004"/>
      <c r="AP69" s="1004"/>
      <c r="AQ69" s="1004"/>
      <c r="AR69" s="1004"/>
      <c r="AS69" s="1004"/>
    </row>
    <row r="70" spans="2:45" s="112" customFormat="1" x14ac:dyDescent="0.2">
      <c r="B70" s="953"/>
      <c r="C70" s="70"/>
      <c r="D70" s="955"/>
      <c r="E70" s="1140"/>
      <c r="F70" s="938" t="s">
        <v>504</v>
      </c>
      <c r="G70" s="996">
        <v>0</v>
      </c>
      <c r="H70" s="996">
        <f t="shared" si="27"/>
        <v>0</v>
      </c>
      <c r="I70" s="996">
        <f t="shared" si="27"/>
        <v>0</v>
      </c>
      <c r="J70" s="996">
        <f t="shared" si="27"/>
        <v>0</v>
      </c>
      <c r="K70" s="996">
        <f t="shared" si="27"/>
        <v>0</v>
      </c>
      <c r="L70" s="996">
        <f t="shared" si="28"/>
        <v>0</v>
      </c>
      <c r="M70" s="996">
        <f t="shared" si="28"/>
        <v>0</v>
      </c>
      <c r="N70" s="91"/>
      <c r="O70" s="67">
        <f>+G70*tab!D$20</f>
        <v>0</v>
      </c>
      <c r="P70" s="67">
        <f>+H70*tab!E$20</f>
        <v>0</v>
      </c>
      <c r="Q70" s="67">
        <f>+I70*tab!F$20</f>
        <v>0</v>
      </c>
      <c r="R70" s="67">
        <f>+J70*tab!G$20</f>
        <v>0</v>
      </c>
      <c r="S70" s="67">
        <f>+K70*tab!H$20</f>
        <v>0</v>
      </c>
      <c r="T70" s="67">
        <f>+L70*tab!I$20</f>
        <v>0</v>
      </c>
      <c r="U70" s="67">
        <f>+M70*tab!J$20</f>
        <v>0</v>
      </c>
      <c r="V70" s="91"/>
      <c r="W70" s="1274"/>
      <c r="X70" s="1201">
        <f>+G70*tab!D$21</f>
        <v>0</v>
      </c>
      <c r="Y70" s="1201">
        <f>+H70*tab!E$21</f>
        <v>0</v>
      </c>
      <c r="Z70" s="1201">
        <f>+I70*tab!F$21</f>
        <v>0</v>
      </c>
      <c r="AA70" s="1201">
        <f>+J70*tab!G$21</f>
        <v>0</v>
      </c>
      <c r="AB70" s="1201">
        <f>+K70*tab!H$21</f>
        <v>0</v>
      </c>
      <c r="AC70" s="1201">
        <f>+L70*tab!$D$21</f>
        <v>0</v>
      </c>
      <c r="AD70" s="1201">
        <f>+M70*tab!$D$21</f>
        <v>0</v>
      </c>
      <c r="AE70" s="91"/>
      <c r="AF70" s="1016"/>
      <c r="AG70" s="1004"/>
      <c r="AH70" s="1004"/>
      <c r="AI70" s="1004"/>
      <c r="AJ70" s="1004"/>
      <c r="AK70" s="1004"/>
      <c r="AL70" s="1004"/>
      <c r="AM70" s="1004"/>
      <c r="AN70" s="1004"/>
      <c r="AO70" s="1004"/>
      <c r="AP70" s="1004"/>
      <c r="AQ70" s="1004"/>
      <c r="AR70" s="1004"/>
      <c r="AS70" s="1004"/>
    </row>
    <row r="71" spans="2:45" s="112" customFormat="1" x14ac:dyDescent="0.2">
      <c r="B71" s="953"/>
      <c r="C71" s="70">
        <v>8</v>
      </c>
      <c r="D71" s="150" t="s">
        <v>628</v>
      </c>
      <c r="E71" s="831" t="s">
        <v>274</v>
      </c>
      <c r="F71" s="938" t="s">
        <v>503</v>
      </c>
      <c r="G71" s="996">
        <v>0</v>
      </c>
      <c r="H71" s="996">
        <f t="shared" si="27"/>
        <v>0</v>
      </c>
      <c r="I71" s="996">
        <f t="shared" si="27"/>
        <v>0</v>
      </c>
      <c r="J71" s="996">
        <f t="shared" si="27"/>
        <v>0</v>
      </c>
      <c r="K71" s="996">
        <f t="shared" si="27"/>
        <v>0</v>
      </c>
      <c r="L71" s="996">
        <f t="shared" si="28"/>
        <v>0</v>
      </c>
      <c r="M71" s="996">
        <f t="shared" si="28"/>
        <v>0</v>
      </c>
      <c r="N71" s="91"/>
      <c r="O71" s="67">
        <f>+G71*tab!D$20</f>
        <v>0</v>
      </c>
      <c r="P71" s="67">
        <f>+H71*tab!E$20</f>
        <v>0</v>
      </c>
      <c r="Q71" s="67">
        <f>+I71*tab!F$20</f>
        <v>0</v>
      </c>
      <c r="R71" s="67">
        <f>+J71*tab!G$20</f>
        <v>0</v>
      </c>
      <c r="S71" s="67">
        <f>+K71*tab!H$20</f>
        <v>0</v>
      </c>
      <c r="T71" s="67">
        <f>+L71*tab!I$20</f>
        <v>0</v>
      </c>
      <c r="U71" s="67">
        <f>+M71*tab!J$20</f>
        <v>0</v>
      </c>
      <c r="V71" s="91"/>
      <c r="W71" s="1274"/>
      <c r="X71" s="1201">
        <f>+G71*tab!D$21</f>
        <v>0</v>
      </c>
      <c r="Y71" s="1201">
        <f>+H71*tab!E$21</f>
        <v>0</v>
      </c>
      <c r="Z71" s="1201">
        <f>+I71*tab!F$21</f>
        <v>0</v>
      </c>
      <c r="AA71" s="1201">
        <f>+J71*tab!G$21</f>
        <v>0</v>
      </c>
      <c r="AB71" s="1201">
        <f>+K71*tab!H$21</f>
        <v>0</v>
      </c>
      <c r="AC71" s="1201">
        <f>+L71*tab!$D$21</f>
        <v>0</v>
      </c>
      <c r="AD71" s="1201">
        <f>+M71*tab!$D$21</f>
        <v>0</v>
      </c>
      <c r="AE71" s="91"/>
      <c r="AF71" s="1016"/>
      <c r="AG71" s="1004"/>
      <c r="AH71" s="1004"/>
      <c r="AI71" s="1004"/>
      <c r="AJ71" s="1004"/>
      <c r="AK71" s="1004"/>
      <c r="AL71" s="1004"/>
      <c r="AM71" s="1004"/>
      <c r="AN71" s="1004"/>
      <c r="AO71" s="1004"/>
      <c r="AP71" s="1004"/>
      <c r="AQ71" s="1004"/>
      <c r="AR71" s="1004"/>
      <c r="AS71" s="1004"/>
    </row>
    <row r="72" spans="2:45" s="112" customFormat="1" x14ac:dyDescent="0.2">
      <c r="B72" s="953"/>
      <c r="C72" s="70"/>
      <c r="D72" s="955"/>
      <c r="E72" s="1140"/>
      <c r="F72" s="938" t="s">
        <v>504</v>
      </c>
      <c r="G72" s="996">
        <v>0</v>
      </c>
      <c r="H72" s="996">
        <f t="shared" si="27"/>
        <v>0</v>
      </c>
      <c r="I72" s="996">
        <f t="shared" si="27"/>
        <v>0</v>
      </c>
      <c r="J72" s="996">
        <f t="shared" si="27"/>
        <v>0</v>
      </c>
      <c r="K72" s="996">
        <f t="shared" si="27"/>
        <v>0</v>
      </c>
      <c r="L72" s="996">
        <f t="shared" si="28"/>
        <v>0</v>
      </c>
      <c r="M72" s="996">
        <f t="shared" si="28"/>
        <v>0</v>
      </c>
      <c r="N72" s="91"/>
      <c r="O72" s="67">
        <f>+G72*tab!D$20</f>
        <v>0</v>
      </c>
      <c r="P72" s="67">
        <f>+H72*tab!E$20</f>
        <v>0</v>
      </c>
      <c r="Q72" s="67">
        <f>+I72*tab!F$20</f>
        <v>0</v>
      </c>
      <c r="R72" s="67">
        <f>+J72*tab!G$20</f>
        <v>0</v>
      </c>
      <c r="S72" s="67">
        <f>+K72*tab!H$20</f>
        <v>0</v>
      </c>
      <c r="T72" s="67">
        <f>+L72*tab!I$20</f>
        <v>0</v>
      </c>
      <c r="U72" s="67">
        <f>+M72*tab!J$20</f>
        <v>0</v>
      </c>
      <c r="V72" s="91"/>
      <c r="W72" s="1274"/>
      <c r="X72" s="1201">
        <f>+G72*tab!D$21</f>
        <v>0</v>
      </c>
      <c r="Y72" s="1201">
        <f>+H72*tab!E$21</f>
        <v>0</v>
      </c>
      <c r="Z72" s="1201">
        <f>+I72*tab!F$21</f>
        <v>0</v>
      </c>
      <c r="AA72" s="1201">
        <f>+J72*tab!G$21</f>
        <v>0</v>
      </c>
      <c r="AB72" s="1201">
        <f>+K72*tab!H$21</f>
        <v>0</v>
      </c>
      <c r="AC72" s="1201">
        <f>+L72*tab!$D$21</f>
        <v>0</v>
      </c>
      <c r="AD72" s="1201">
        <f>+M72*tab!$D$21</f>
        <v>0</v>
      </c>
      <c r="AE72" s="91"/>
      <c r="AF72" s="1016"/>
      <c r="AG72" s="1004"/>
      <c r="AH72" s="1004"/>
      <c r="AI72" s="1004"/>
      <c r="AJ72" s="1004"/>
      <c r="AK72" s="1004"/>
      <c r="AL72" s="1004"/>
      <c r="AM72" s="1004"/>
      <c r="AN72" s="1004"/>
      <c r="AO72" s="1004"/>
      <c r="AP72" s="1004"/>
      <c r="AQ72" s="1004"/>
      <c r="AR72" s="1004"/>
      <c r="AS72" s="1004"/>
    </row>
    <row r="73" spans="2:45" s="112" customFormat="1" x14ac:dyDescent="0.2">
      <c r="B73" s="953"/>
      <c r="C73" s="70">
        <v>9</v>
      </c>
      <c r="D73" s="150" t="s">
        <v>629</v>
      </c>
      <c r="E73" s="831" t="s">
        <v>274</v>
      </c>
      <c r="F73" s="938" t="s">
        <v>503</v>
      </c>
      <c r="G73" s="996">
        <v>0</v>
      </c>
      <c r="H73" s="996">
        <f t="shared" si="27"/>
        <v>0</v>
      </c>
      <c r="I73" s="996">
        <f t="shared" si="27"/>
        <v>0</v>
      </c>
      <c r="J73" s="996">
        <f t="shared" si="27"/>
        <v>0</v>
      </c>
      <c r="K73" s="996">
        <f t="shared" si="27"/>
        <v>0</v>
      </c>
      <c r="L73" s="996">
        <f t="shared" si="28"/>
        <v>0</v>
      </c>
      <c r="M73" s="996">
        <f t="shared" si="28"/>
        <v>0</v>
      </c>
      <c r="N73" s="91"/>
      <c r="O73" s="67">
        <f>+G73*tab!D$20</f>
        <v>0</v>
      </c>
      <c r="P73" s="67">
        <f>+H73*tab!E$20</f>
        <v>0</v>
      </c>
      <c r="Q73" s="67">
        <f>+I73*tab!F$20</f>
        <v>0</v>
      </c>
      <c r="R73" s="67">
        <f>+J73*tab!G$20</f>
        <v>0</v>
      </c>
      <c r="S73" s="67">
        <f>+K73*tab!H$20</f>
        <v>0</v>
      </c>
      <c r="T73" s="67">
        <f>+L73*tab!I$20</f>
        <v>0</v>
      </c>
      <c r="U73" s="67">
        <f>+M73*tab!J$20</f>
        <v>0</v>
      </c>
      <c r="V73" s="91"/>
      <c r="W73" s="1274"/>
      <c r="X73" s="1201">
        <f>+G73*tab!D$21</f>
        <v>0</v>
      </c>
      <c r="Y73" s="1201">
        <f>+H73*tab!E$21</f>
        <v>0</v>
      </c>
      <c r="Z73" s="1201">
        <f>+I73*tab!F$21</f>
        <v>0</v>
      </c>
      <c r="AA73" s="1201">
        <f>+J73*tab!G$21</f>
        <v>0</v>
      </c>
      <c r="AB73" s="1201">
        <f>+K73*tab!H$21</f>
        <v>0</v>
      </c>
      <c r="AC73" s="1201">
        <f>+L73*tab!$D$21</f>
        <v>0</v>
      </c>
      <c r="AD73" s="1201">
        <f>+M73*tab!$D$21</f>
        <v>0</v>
      </c>
      <c r="AE73" s="91"/>
      <c r="AF73" s="1016"/>
      <c r="AG73" s="1004"/>
      <c r="AH73" s="1004"/>
      <c r="AI73" s="1004"/>
      <c r="AJ73" s="1004"/>
      <c r="AK73" s="1004"/>
      <c r="AL73" s="1004"/>
      <c r="AM73" s="1004"/>
      <c r="AN73" s="1004"/>
      <c r="AO73" s="1004"/>
      <c r="AP73" s="1004"/>
      <c r="AQ73" s="1004"/>
      <c r="AR73" s="1004"/>
      <c r="AS73" s="1004"/>
    </row>
    <row r="74" spans="2:45" s="112" customFormat="1" x14ac:dyDescent="0.2">
      <c r="B74" s="953"/>
      <c r="C74" s="70"/>
      <c r="D74" s="955"/>
      <c r="E74" s="1140"/>
      <c r="F74" s="938" t="s">
        <v>504</v>
      </c>
      <c r="G74" s="996">
        <v>0</v>
      </c>
      <c r="H74" s="996">
        <f t="shared" ref="H74:K97" si="29">G74</f>
        <v>0</v>
      </c>
      <c r="I74" s="997">
        <f t="shared" si="29"/>
        <v>0</v>
      </c>
      <c r="J74" s="997">
        <f t="shared" si="29"/>
        <v>0</v>
      </c>
      <c r="K74" s="997">
        <f t="shared" si="29"/>
        <v>0</v>
      </c>
      <c r="L74" s="997">
        <f t="shared" ref="L74:M137" si="30">K74</f>
        <v>0</v>
      </c>
      <c r="M74" s="997">
        <f t="shared" si="30"/>
        <v>0</v>
      </c>
      <c r="N74" s="91"/>
      <c r="O74" s="67">
        <f>+G74*tab!D$20</f>
        <v>0</v>
      </c>
      <c r="P74" s="67">
        <f>+H74*tab!E$20</f>
        <v>0</v>
      </c>
      <c r="Q74" s="67">
        <f>+I74*tab!F$20</f>
        <v>0</v>
      </c>
      <c r="R74" s="67">
        <f>+J74*tab!G$20</f>
        <v>0</v>
      </c>
      <c r="S74" s="67">
        <f>+K74*tab!H$20</f>
        <v>0</v>
      </c>
      <c r="T74" s="67">
        <f>+L74*tab!I$20</f>
        <v>0</v>
      </c>
      <c r="U74" s="67">
        <f>+M74*tab!J$20</f>
        <v>0</v>
      </c>
      <c r="V74" s="91"/>
      <c r="W74" s="1274"/>
      <c r="X74" s="1201">
        <f>+G74*tab!D$21</f>
        <v>0</v>
      </c>
      <c r="Y74" s="1201">
        <f>+H74*tab!E$21</f>
        <v>0</v>
      </c>
      <c r="Z74" s="1201">
        <f>+I74*tab!F$21</f>
        <v>0</v>
      </c>
      <c r="AA74" s="1201">
        <f>+J74*tab!G$21</f>
        <v>0</v>
      </c>
      <c r="AB74" s="1201">
        <f>+K74*tab!H$21</f>
        <v>0</v>
      </c>
      <c r="AC74" s="1201">
        <f>+L74*tab!$D$21</f>
        <v>0</v>
      </c>
      <c r="AD74" s="1201">
        <f>+M74*tab!$D$21</f>
        <v>0</v>
      </c>
      <c r="AE74" s="91"/>
      <c r="AF74" s="1016"/>
      <c r="AG74" s="1004"/>
      <c r="AH74" s="1004"/>
      <c r="AI74" s="1004"/>
      <c r="AJ74" s="1004"/>
      <c r="AK74" s="1004"/>
      <c r="AL74" s="1004"/>
      <c r="AM74" s="1004"/>
      <c r="AN74" s="1004"/>
      <c r="AO74" s="1004"/>
      <c r="AP74" s="1004"/>
      <c r="AQ74" s="1004"/>
      <c r="AR74" s="1004"/>
      <c r="AS74" s="1004"/>
    </row>
    <row r="75" spans="2:45" s="112" customFormat="1" x14ac:dyDescent="0.2">
      <c r="B75" s="953"/>
      <c r="C75" s="70">
        <v>10</v>
      </c>
      <c r="D75" s="150" t="s">
        <v>630</v>
      </c>
      <c r="E75" s="831" t="s">
        <v>274</v>
      </c>
      <c r="F75" s="938" t="s">
        <v>503</v>
      </c>
      <c r="G75" s="996">
        <v>0</v>
      </c>
      <c r="H75" s="996">
        <f t="shared" si="29"/>
        <v>0</v>
      </c>
      <c r="I75" s="997">
        <f t="shared" si="29"/>
        <v>0</v>
      </c>
      <c r="J75" s="997">
        <f t="shared" si="29"/>
        <v>0</v>
      </c>
      <c r="K75" s="997">
        <f t="shared" si="29"/>
        <v>0</v>
      </c>
      <c r="L75" s="997">
        <f t="shared" si="30"/>
        <v>0</v>
      </c>
      <c r="M75" s="997">
        <f t="shared" si="30"/>
        <v>0</v>
      </c>
      <c r="N75" s="91"/>
      <c r="O75" s="67">
        <f>+G75*tab!D$20</f>
        <v>0</v>
      </c>
      <c r="P75" s="67">
        <f>+H75*tab!E$20</f>
        <v>0</v>
      </c>
      <c r="Q75" s="67">
        <f>+I75*tab!F$20</f>
        <v>0</v>
      </c>
      <c r="R75" s="67">
        <f>+J75*tab!G$20</f>
        <v>0</v>
      </c>
      <c r="S75" s="67">
        <f>+K75*tab!H$20</f>
        <v>0</v>
      </c>
      <c r="T75" s="67">
        <f>+L75*tab!I$20</f>
        <v>0</v>
      </c>
      <c r="U75" s="67">
        <f>+M75*tab!J$20</f>
        <v>0</v>
      </c>
      <c r="V75" s="91"/>
      <c r="W75" s="1274"/>
      <c r="X75" s="1201">
        <f>+G75*tab!D$21</f>
        <v>0</v>
      </c>
      <c r="Y75" s="1201">
        <f>+H75*tab!E$21</f>
        <v>0</v>
      </c>
      <c r="Z75" s="1201">
        <f>+I75*tab!F$21</f>
        <v>0</v>
      </c>
      <c r="AA75" s="1201">
        <f>+J75*tab!G$21</f>
        <v>0</v>
      </c>
      <c r="AB75" s="1201">
        <f>+K75*tab!H$21</f>
        <v>0</v>
      </c>
      <c r="AC75" s="1201">
        <f>+L75*tab!$D$21</f>
        <v>0</v>
      </c>
      <c r="AD75" s="1201">
        <f>+M75*tab!$D$21</f>
        <v>0</v>
      </c>
      <c r="AE75" s="91"/>
      <c r="AF75" s="1016"/>
      <c r="AG75" s="1004"/>
      <c r="AH75" s="1004"/>
      <c r="AI75" s="1004"/>
      <c r="AJ75" s="1004"/>
      <c r="AK75" s="1004"/>
      <c r="AL75" s="1004"/>
      <c r="AM75" s="1004"/>
      <c r="AN75" s="1004"/>
      <c r="AO75" s="1004"/>
      <c r="AP75" s="1004"/>
      <c r="AQ75" s="1004"/>
      <c r="AR75" s="1004"/>
      <c r="AS75" s="1004"/>
    </row>
    <row r="76" spans="2:45" s="112" customFormat="1" x14ac:dyDescent="0.2">
      <c r="B76" s="953"/>
      <c r="C76" s="70"/>
      <c r="D76" s="955"/>
      <c r="E76" s="1140"/>
      <c r="F76" s="938" t="s">
        <v>504</v>
      </c>
      <c r="G76" s="996">
        <v>0</v>
      </c>
      <c r="H76" s="996">
        <f t="shared" si="29"/>
        <v>0</v>
      </c>
      <c r="I76" s="997">
        <f t="shared" si="29"/>
        <v>0</v>
      </c>
      <c r="J76" s="997">
        <f t="shared" si="29"/>
        <v>0</v>
      </c>
      <c r="K76" s="997">
        <f t="shared" si="29"/>
        <v>0</v>
      </c>
      <c r="L76" s="997">
        <f t="shared" si="30"/>
        <v>0</v>
      </c>
      <c r="M76" s="997">
        <f t="shared" si="30"/>
        <v>0</v>
      </c>
      <c r="N76" s="91"/>
      <c r="O76" s="67">
        <f>+G76*tab!D$20</f>
        <v>0</v>
      </c>
      <c r="P76" s="67">
        <f>+H76*tab!E$20</f>
        <v>0</v>
      </c>
      <c r="Q76" s="67">
        <f>+I76*tab!F$20</f>
        <v>0</v>
      </c>
      <c r="R76" s="67">
        <f>+J76*tab!G$20</f>
        <v>0</v>
      </c>
      <c r="S76" s="67">
        <f>+K76*tab!H$20</f>
        <v>0</v>
      </c>
      <c r="T76" s="67">
        <f>+L76*tab!I$20</f>
        <v>0</v>
      </c>
      <c r="U76" s="67">
        <f>+M76*tab!J$20</f>
        <v>0</v>
      </c>
      <c r="V76" s="91"/>
      <c r="W76" s="1274"/>
      <c r="X76" s="1201">
        <f>+G76*tab!D$21</f>
        <v>0</v>
      </c>
      <c r="Y76" s="1201">
        <f>+H76*tab!E$21</f>
        <v>0</v>
      </c>
      <c r="Z76" s="1201">
        <f>+I76*tab!F$21</f>
        <v>0</v>
      </c>
      <c r="AA76" s="1201">
        <f>+J76*tab!G$21</f>
        <v>0</v>
      </c>
      <c r="AB76" s="1201">
        <f>+K76*tab!H$21</f>
        <v>0</v>
      </c>
      <c r="AC76" s="1201">
        <f>+L76*tab!$D$21</f>
        <v>0</v>
      </c>
      <c r="AD76" s="1201">
        <f>+M76*tab!$D$21</f>
        <v>0</v>
      </c>
      <c r="AE76" s="91"/>
      <c r="AF76" s="1016"/>
      <c r="AG76" s="1004"/>
      <c r="AH76" s="1004"/>
      <c r="AI76" s="1004"/>
      <c r="AJ76" s="1004"/>
      <c r="AK76" s="1004"/>
      <c r="AL76" s="1004"/>
      <c r="AM76" s="1004"/>
      <c r="AN76" s="1004"/>
      <c r="AO76" s="1004"/>
      <c r="AP76" s="1004"/>
      <c r="AQ76" s="1004"/>
      <c r="AR76" s="1004"/>
      <c r="AS76" s="1004"/>
    </row>
    <row r="77" spans="2:45" s="112" customFormat="1" x14ac:dyDescent="0.2">
      <c r="B77" s="953"/>
      <c r="C77" s="70">
        <v>11</v>
      </c>
      <c r="D77" s="150" t="s">
        <v>631</v>
      </c>
      <c r="E77" s="831" t="s">
        <v>274</v>
      </c>
      <c r="F77" s="938" t="s">
        <v>503</v>
      </c>
      <c r="G77" s="996">
        <v>0</v>
      </c>
      <c r="H77" s="996">
        <f t="shared" si="29"/>
        <v>0</v>
      </c>
      <c r="I77" s="997">
        <f t="shared" si="29"/>
        <v>0</v>
      </c>
      <c r="J77" s="997">
        <f t="shared" si="29"/>
        <v>0</v>
      </c>
      <c r="K77" s="997">
        <f t="shared" si="29"/>
        <v>0</v>
      </c>
      <c r="L77" s="997">
        <f t="shared" si="30"/>
        <v>0</v>
      </c>
      <c r="M77" s="997">
        <f t="shared" si="30"/>
        <v>0</v>
      </c>
      <c r="N77" s="91"/>
      <c r="O77" s="67">
        <f>+G77*tab!D$20</f>
        <v>0</v>
      </c>
      <c r="P77" s="67">
        <f>+H77*tab!E$20</f>
        <v>0</v>
      </c>
      <c r="Q77" s="67">
        <f>+I77*tab!F$20</f>
        <v>0</v>
      </c>
      <c r="R77" s="67">
        <f>+J77*tab!G$20</f>
        <v>0</v>
      </c>
      <c r="S77" s="67">
        <f>+K77*tab!H$20</f>
        <v>0</v>
      </c>
      <c r="T77" s="67">
        <f>+L77*tab!I$20</f>
        <v>0</v>
      </c>
      <c r="U77" s="67">
        <f>+M77*tab!J$20</f>
        <v>0</v>
      </c>
      <c r="V77" s="91"/>
      <c r="W77" s="1274"/>
      <c r="X77" s="1201">
        <f>+G77*tab!D$21</f>
        <v>0</v>
      </c>
      <c r="Y77" s="1201">
        <f>+H77*tab!E$21</f>
        <v>0</v>
      </c>
      <c r="Z77" s="1201">
        <f>+I77*tab!F$21</f>
        <v>0</v>
      </c>
      <c r="AA77" s="1201">
        <f>+J77*tab!G$21</f>
        <v>0</v>
      </c>
      <c r="AB77" s="1201">
        <f>+K77*tab!H$21</f>
        <v>0</v>
      </c>
      <c r="AC77" s="1201">
        <f>+L77*tab!$D$21</f>
        <v>0</v>
      </c>
      <c r="AD77" s="1201">
        <f>+M77*tab!$D$21</f>
        <v>0</v>
      </c>
      <c r="AE77" s="91"/>
      <c r="AF77" s="1016"/>
      <c r="AG77" s="1004"/>
      <c r="AH77" s="1004"/>
      <c r="AI77" s="1004"/>
      <c r="AJ77" s="1004"/>
      <c r="AK77" s="1004"/>
      <c r="AL77" s="1004"/>
      <c r="AM77" s="1004"/>
      <c r="AN77" s="1004"/>
      <c r="AO77" s="1004"/>
      <c r="AP77" s="1004"/>
      <c r="AQ77" s="1004"/>
      <c r="AR77" s="1004"/>
      <c r="AS77" s="1004"/>
    </row>
    <row r="78" spans="2:45" s="112" customFormat="1" x14ac:dyDescent="0.2">
      <c r="B78" s="953"/>
      <c r="C78" s="70"/>
      <c r="D78" s="955"/>
      <c r="E78" s="1140"/>
      <c r="F78" s="938" t="s">
        <v>504</v>
      </c>
      <c r="G78" s="996">
        <v>0</v>
      </c>
      <c r="H78" s="996">
        <f t="shared" si="29"/>
        <v>0</v>
      </c>
      <c r="I78" s="997">
        <f t="shared" si="29"/>
        <v>0</v>
      </c>
      <c r="J78" s="997">
        <f t="shared" si="29"/>
        <v>0</v>
      </c>
      <c r="K78" s="997">
        <f t="shared" si="29"/>
        <v>0</v>
      </c>
      <c r="L78" s="997">
        <f t="shared" si="30"/>
        <v>0</v>
      </c>
      <c r="M78" s="997">
        <f t="shared" si="30"/>
        <v>0</v>
      </c>
      <c r="N78" s="91"/>
      <c r="O78" s="67">
        <f>+G78*tab!D$20</f>
        <v>0</v>
      </c>
      <c r="P78" s="67">
        <f>+H78*tab!E$20</f>
        <v>0</v>
      </c>
      <c r="Q78" s="67">
        <f>+I78*tab!F$20</f>
        <v>0</v>
      </c>
      <c r="R78" s="67">
        <f>+J78*tab!G$20</f>
        <v>0</v>
      </c>
      <c r="S78" s="67">
        <f>+K78*tab!H$20</f>
        <v>0</v>
      </c>
      <c r="T78" s="67">
        <f>+L78*tab!I$20</f>
        <v>0</v>
      </c>
      <c r="U78" s="67">
        <f>+M78*tab!J$20</f>
        <v>0</v>
      </c>
      <c r="V78" s="91"/>
      <c r="W78" s="1274"/>
      <c r="X78" s="1201">
        <f>+G78*tab!D$21</f>
        <v>0</v>
      </c>
      <c r="Y78" s="1201">
        <f>+H78*tab!E$21</f>
        <v>0</v>
      </c>
      <c r="Z78" s="1201">
        <f>+I78*tab!F$21</f>
        <v>0</v>
      </c>
      <c r="AA78" s="1201">
        <f>+J78*tab!G$21</f>
        <v>0</v>
      </c>
      <c r="AB78" s="1201">
        <f>+K78*tab!H$21</f>
        <v>0</v>
      </c>
      <c r="AC78" s="1201">
        <f>+L78*tab!$D$21</f>
        <v>0</v>
      </c>
      <c r="AD78" s="1201">
        <f>+M78*tab!$D$21</f>
        <v>0</v>
      </c>
      <c r="AE78" s="91"/>
      <c r="AF78" s="1016"/>
      <c r="AG78" s="1004"/>
      <c r="AH78" s="1004"/>
      <c r="AI78" s="1004"/>
      <c r="AJ78" s="1004"/>
      <c r="AK78" s="1004"/>
      <c r="AL78" s="1004"/>
      <c r="AM78" s="1004"/>
      <c r="AN78" s="1004"/>
      <c r="AO78" s="1004"/>
      <c r="AP78" s="1004"/>
      <c r="AQ78" s="1004"/>
      <c r="AR78" s="1004"/>
      <c r="AS78" s="1004"/>
    </row>
    <row r="79" spans="2:45" s="112" customFormat="1" x14ac:dyDescent="0.2">
      <c r="B79" s="953"/>
      <c r="C79" s="70">
        <v>12</v>
      </c>
      <c r="D79" s="150" t="s">
        <v>632</v>
      </c>
      <c r="E79" s="831" t="s">
        <v>274</v>
      </c>
      <c r="F79" s="938" t="s">
        <v>503</v>
      </c>
      <c r="G79" s="996">
        <v>0</v>
      </c>
      <c r="H79" s="996">
        <f t="shared" si="29"/>
        <v>0</v>
      </c>
      <c r="I79" s="997">
        <f t="shared" si="29"/>
        <v>0</v>
      </c>
      <c r="J79" s="997">
        <f t="shared" si="29"/>
        <v>0</v>
      </c>
      <c r="K79" s="997">
        <f t="shared" si="29"/>
        <v>0</v>
      </c>
      <c r="L79" s="997">
        <f t="shared" si="30"/>
        <v>0</v>
      </c>
      <c r="M79" s="997">
        <f t="shared" si="30"/>
        <v>0</v>
      </c>
      <c r="N79" s="91"/>
      <c r="O79" s="67">
        <f>+G79*tab!D$20</f>
        <v>0</v>
      </c>
      <c r="P79" s="67">
        <f>+H79*tab!E$20</f>
        <v>0</v>
      </c>
      <c r="Q79" s="67">
        <f>+I79*tab!F$20</f>
        <v>0</v>
      </c>
      <c r="R79" s="67">
        <f>+J79*tab!G$20</f>
        <v>0</v>
      </c>
      <c r="S79" s="67">
        <f>+K79*tab!H$20</f>
        <v>0</v>
      </c>
      <c r="T79" s="67">
        <f>+L79*tab!I$20</f>
        <v>0</v>
      </c>
      <c r="U79" s="67">
        <f>+M79*tab!J$20</f>
        <v>0</v>
      </c>
      <c r="V79" s="91"/>
      <c r="W79" s="1274"/>
      <c r="X79" s="1201">
        <f>+G79*tab!D$21</f>
        <v>0</v>
      </c>
      <c r="Y79" s="1201">
        <f>+H79*tab!E$21</f>
        <v>0</v>
      </c>
      <c r="Z79" s="1201">
        <f>+I79*tab!F$21</f>
        <v>0</v>
      </c>
      <c r="AA79" s="1201">
        <f>+J79*tab!G$21</f>
        <v>0</v>
      </c>
      <c r="AB79" s="1201">
        <f>+K79*tab!H$21</f>
        <v>0</v>
      </c>
      <c r="AC79" s="1201">
        <f>+L79*tab!$D$21</f>
        <v>0</v>
      </c>
      <c r="AD79" s="1201">
        <f>+M79*tab!$D$21</f>
        <v>0</v>
      </c>
      <c r="AE79" s="91"/>
      <c r="AF79" s="1016"/>
      <c r="AG79" s="1004"/>
      <c r="AH79" s="1004"/>
      <c r="AI79" s="1004"/>
      <c r="AJ79" s="1004"/>
      <c r="AK79" s="1004"/>
      <c r="AL79" s="1004"/>
      <c r="AM79" s="1004"/>
      <c r="AN79" s="1004"/>
      <c r="AO79" s="1004"/>
      <c r="AP79" s="1004"/>
      <c r="AQ79" s="1004"/>
      <c r="AR79" s="1004"/>
      <c r="AS79" s="1004"/>
    </row>
    <row r="80" spans="2:45" s="112" customFormat="1" x14ac:dyDescent="0.2">
      <c r="B80" s="953"/>
      <c r="C80" s="70"/>
      <c r="D80" s="955"/>
      <c r="E80" s="1140"/>
      <c r="F80" s="938" t="s">
        <v>504</v>
      </c>
      <c r="G80" s="996">
        <v>0</v>
      </c>
      <c r="H80" s="996">
        <f t="shared" si="29"/>
        <v>0</v>
      </c>
      <c r="I80" s="997">
        <f t="shared" si="29"/>
        <v>0</v>
      </c>
      <c r="J80" s="997">
        <f t="shared" si="29"/>
        <v>0</v>
      </c>
      <c r="K80" s="997">
        <f t="shared" si="29"/>
        <v>0</v>
      </c>
      <c r="L80" s="997">
        <f t="shared" si="30"/>
        <v>0</v>
      </c>
      <c r="M80" s="997">
        <f t="shared" si="30"/>
        <v>0</v>
      </c>
      <c r="N80" s="91"/>
      <c r="O80" s="67">
        <f>+G80*tab!D$20</f>
        <v>0</v>
      </c>
      <c r="P80" s="67">
        <f>+H80*tab!E$20</f>
        <v>0</v>
      </c>
      <c r="Q80" s="67">
        <f>+I80*tab!F$20</f>
        <v>0</v>
      </c>
      <c r="R80" s="67">
        <f>+J80*tab!G$20</f>
        <v>0</v>
      </c>
      <c r="S80" s="67">
        <f>+K80*tab!H$20</f>
        <v>0</v>
      </c>
      <c r="T80" s="67">
        <f>+L80*tab!I$20</f>
        <v>0</v>
      </c>
      <c r="U80" s="67">
        <f>+M80*tab!J$20</f>
        <v>0</v>
      </c>
      <c r="V80" s="91"/>
      <c r="W80" s="1274"/>
      <c r="X80" s="1201">
        <f>+G80*tab!D$21</f>
        <v>0</v>
      </c>
      <c r="Y80" s="1201">
        <f>+H80*tab!E$21</f>
        <v>0</v>
      </c>
      <c r="Z80" s="1201">
        <f>+I80*tab!F$21</f>
        <v>0</v>
      </c>
      <c r="AA80" s="1201">
        <f>+J80*tab!G$21</f>
        <v>0</v>
      </c>
      <c r="AB80" s="1201">
        <f>+K80*tab!H$21</f>
        <v>0</v>
      </c>
      <c r="AC80" s="1201">
        <f>+L80*tab!$D$21</f>
        <v>0</v>
      </c>
      <c r="AD80" s="1201">
        <f>+M80*tab!$D$21</f>
        <v>0</v>
      </c>
      <c r="AE80" s="91"/>
      <c r="AF80" s="1016"/>
      <c r="AG80" s="1004"/>
      <c r="AH80" s="1004"/>
      <c r="AI80" s="1004"/>
      <c r="AJ80" s="1004"/>
      <c r="AK80" s="1004"/>
      <c r="AL80" s="1004"/>
      <c r="AM80" s="1004"/>
      <c r="AN80" s="1004"/>
      <c r="AO80" s="1004"/>
      <c r="AP80" s="1004"/>
      <c r="AQ80" s="1004"/>
      <c r="AR80" s="1004"/>
      <c r="AS80" s="1004"/>
    </row>
    <row r="81" spans="2:45" s="112" customFormat="1" x14ac:dyDescent="0.2">
      <c r="B81" s="953"/>
      <c r="C81" s="70">
        <v>13</v>
      </c>
      <c r="D81" s="150" t="s">
        <v>633</v>
      </c>
      <c r="E81" s="831" t="s">
        <v>274</v>
      </c>
      <c r="F81" s="938" t="s">
        <v>503</v>
      </c>
      <c r="G81" s="996">
        <v>0</v>
      </c>
      <c r="H81" s="996">
        <f t="shared" si="29"/>
        <v>0</v>
      </c>
      <c r="I81" s="997">
        <f t="shared" si="29"/>
        <v>0</v>
      </c>
      <c r="J81" s="997">
        <f t="shared" si="29"/>
        <v>0</v>
      </c>
      <c r="K81" s="997">
        <f t="shared" si="29"/>
        <v>0</v>
      </c>
      <c r="L81" s="997">
        <f t="shared" si="30"/>
        <v>0</v>
      </c>
      <c r="M81" s="997">
        <f t="shared" si="30"/>
        <v>0</v>
      </c>
      <c r="N81" s="91"/>
      <c r="O81" s="67">
        <f>+G81*tab!D$20</f>
        <v>0</v>
      </c>
      <c r="P81" s="67">
        <f>+H81*tab!E$20</f>
        <v>0</v>
      </c>
      <c r="Q81" s="67">
        <f>+I81*tab!F$20</f>
        <v>0</v>
      </c>
      <c r="R81" s="67">
        <f>+J81*tab!G$20</f>
        <v>0</v>
      </c>
      <c r="S81" s="67">
        <f>+K81*tab!H$20</f>
        <v>0</v>
      </c>
      <c r="T81" s="67">
        <f>+L81*tab!I$20</f>
        <v>0</v>
      </c>
      <c r="U81" s="67">
        <f>+M81*tab!J$20</f>
        <v>0</v>
      </c>
      <c r="V81" s="91"/>
      <c r="W81" s="1274"/>
      <c r="X81" s="1201">
        <f>+G81*tab!D$21</f>
        <v>0</v>
      </c>
      <c r="Y81" s="1201">
        <f>+H81*tab!E$21</f>
        <v>0</v>
      </c>
      <c r="Z81" s="1201">
        <f>+I81*tab!F$21</f>
        <v>0</v>
      </c>
      <c r="AA81" s="1201">
        <f>+J81*tab!G$21</f>
        <v>0</v>
      </c>
      <c r="AB81" s="1201">
        <f>+K81*tab!H$21</f>
        <v>0</v>
      </c>
      <c r="AC81" s="1201">
        <f>+L81*tab!$D$21</f>
        <v>0</v>
      </c>
      <c r="AD81" s="1201">
        <f>+M81*tab!$D$21</f>
        <v>0</v>
      </c>
      <c r="AE81" s="91"/>
      <c r="AF81" s="1016"/>
      <c r="AG81" s="1004"/>
      <c r="AH81" s="1004"/>
      <c r="AI81" s="1004"/>
      <c r="AJ81" s="1004"/>
      <c r="AK81" s="1004"/>
      <c r="AL81" s="1004"/>
      <c r="AM81" s="1004"/>
      <c r="AN81" s="1004"/>
      <c r="AO81" s="1004"/>
      <c r="AP81" s="1004"/>
      <c r="AQ81" s="1004"/>
      <c r="AR81" s="1004"/>
      <c r="AS81" s="1004"/>
    </row>
    <row r="82" spans="2:45" s="112" customFormat="1" x14ac:dyDescent="0.2">
      <c r="B82" s="953"/>
      <c r="C82" s="70"/>
      <c r="D82" s="955"/>
      <c r="E82" s="1320"/>
      <c r="F82" s="938" t="s">
        <v>504</v>
      </c>
      <c r="G82" s="996">
        <v>0</v>
      </c>
      <c r="H82" s="996">
        <f t="shared" si="29"/>
        <v>0</v>
      </c>
      <c r="I82" s="997">
        <f t="shared" si="29"/>
        <v>0</v>
      </c>
      <c r="J82" s="997">
        <f t="shared" si="29"/>
        <v>0</v>
      </c>
      <c r="K82" s="997">
        <f t="shared" si="29"/>
        <v>0</v>
      </c>
      <c r="L82" s="997">
        <f t="shared" si="30"/>
        <v>0</v>
      </c>
      <c r="M82" s="997">
        <f t="shared" si="30"/>
        <v>0</v>
      </c>
      <c r="N82" s="91"/>
      <c r="O82" s="67">
        <f>+G82*tab!D$20</f>
        <v>0</v>
      </c>
      <c r="P82" s="67">
        <f>+H82*tab!E$20</f>
        <v>0</v>
      </c>
      <c r="Q82" s="67">
        <f>+I82*tab!F$20</f>
        <v>0</v>
      </c>
      <c r="R82" s="67">
        <f>+J82*tab!G$20</f>
        <v>0</v>
      </c>
      <c r="S82" s="67">
        <f>+K82*tab!H$20</f>
        <v>0</v>
      </c>
      <c r="T82" s="67">
        <f>+L82*tab!I$20</f>
        <v>0</v>
      </c>
      <c r="U82" s="67">
        <f>+M82*tab!J$20</f>
        <v>0</v>
      </c>
      <c r="V82" s="91"/>
      <c r="W82" s="1274"/>
      <c r="X82" s="1201">
        <f>+G82*tab!D$21</f>
        <v>0</v>
      </c>
      <c r="Y82" s="1201">
        <f>+H82*tab!E$21</f>
        <v>0</v>
      </c>
      <c r="Z82" s="1201">
        <f>+I82*tab!F$21</f>
        <v>0</v>
      </c>
      <c r="AA82" s="1201">
        <f>+J82*tab!G$21</f>
        <v>0</v>
      </c>
      <c r="AB82" s="1201">
        <f>+K82*tab!H$21</f>
        <v>0</v>
      </c>
      <c r="AC82" s="1201">
        <f>+L82*tab!$D$21</f>
        <v>0</v>
      </c>
      <c r="AD82" s="1201">
        <f>+M82*tab!$D$21</f>
        <v>0</v>
      </c>
      <c r="AE82" s="91"/>
      <c r="AF82" s="1016"/>
      <c r="AG82" s="1004"/>
      <c r="AH82" s="1004"/>
      <c r="AI82" s="1004"/>
      <c r="AJ82" s="1004"/>
      <c r="AK82" s="1004"/>
      <c r="AL82" s="1004"/>
      <c r="AM82" s="1004"/>
      <c r="AN82" s="1004"/>
      <c r="AO82" s="1004"/>
      <c r="AP82" s="1004"/>
      <c r="AQ82" s="1004"/>
      <c r="AR82" s="1004"/>
      <c r="AS82" s="1004"/>
    </row>
    <row r="83" spans="2:45" s="112" customFormat="1" x14ac:dyDescent="0.2">
      <c r="B83" s="953"/>
      <c r="C83" s="70">
        <v>14</v>
      </c>
      <c r="D83" s="150" t="s">
        <v>634</v>
      </c>
      <c r="E83" s="831" t="s">
        <v>274</v>
      </c>
      <c r="F83" s="938" t="s">
        <v>503</v>
      </c>
      <c r="G83" s="996">
        <v>0</v>
      </c>
      <c r="H83" s="996">
        <f t="shared" si="29"/>
        <v>0</v>
      </c>
      <c r="I83" s="997">
        <f t="shared" si="29"/>
        <v>0</v>
      </c>
      <c r="J83" s="997">
        <f t="shared" si="29"/>
        <v>0</v>
      </c>
      <c r="K83" s="997">
        <f t="shared" si="29"/>
        <v>0</v>
      </c>
      <c r="L83" s="997">
        <f t="shared" si="30"/>
        <v>0</v>
      </c>
      <c r="M83" s="997">
        <f t="shared" si="30"/>
        <v>0</v>
      </c>
      <c r="N83" s="91"/>
      <c r="O83" s="67">
        <f>+G83*tab!D$20</f>
        <v>0</v>
      </c>
      <c r="P83" s="67">
        <f>+H83*tab!E$20</f>
        <v>0</v>
      </c>
      <c r="Q83" s="67">
        <f>+I83*tab!F$20</f>
        <v>0</v>
      </c>
      <c r="R83" s="67">
        <f>+J83*tab!G$20</f>
        <v>0</v>
      </c>
      <c r="S83" s="67">
        <f>+K83*tab!H$20</f>
        <v>0</v>
      </c>
      <c r="T83" s="67">
        <f>+L83*tab!I$20</f>
        <v>0</v>
      </c>
      <c r="U83" s="67">
        <f>+M83*tab!J$20</f>
        <v>0</v>
      </c>
      <c r="V83" s="91"/>
      <c r="W83" s="1274"/>
      <c r="X83" s="1201">
        <f>+G83*tab!D$21</f>
        <v>0</v>
      </c>
      <c r="Y83" s="1201">
        <f>+H83*tab!E$21</f>
        <v>0</v>
      </c>
      <c r="Z83" s="1201">
        <f>+I83*tab!F$21</f>
        <v>0</v>
      </c>
      <c r="AA83" s="1201">
        <f>+J83*tab!G$21</f>
        <v>0</v>
      </c>
      <c r="AB83" s="1201">
        <f>+K83*tab!H$21</f>
        <v>0</v>
      </c>
      <c r="AC83" s="1201">
        <f>+L83*tab!$D$21</f>
        <v>0</v>
      </c>
      <c r="AD83" s="1201">
        <f>+M83*tab!$D$21</f>
        <v>0</v>
      </c>
      <c r="AE83" s="91"/>
      <c r="AF83" s="1016"/>
      <c r="AG83" s="1004"/>
      <c r="AH83" s="1004"/>
      <c r="AI83" s="1004"/>
      <c r="AJ83" s="1004"/>
      <c r="AK83" s="1004"/>
      <c r="AL83" s="1004"/>
      <c r="AM83" s="1004"/>
      <c r="AN83" s="1004"/>
      <c r="AO83" s="1004"/>
      <c r="AP83" s="1004"/>
      <c r="AQ83" s="1004"/>
      <c r="AR83" s="1004"/>
      <c r="AS83" s="1004"/>
    </row>
    <row r="84" spans="2:45" s="112" customFormat="1" x14ac:dyDescent="0.2">
      <c r="B84" s="953"/>
      <c r="C84" s="70"/>
      <c r="D84" s="955"/>
      <c r="E84" s="1320"/>
      <c r="F84" s="938" t="s">
        <v>504</v>
      </c>
      <c r="G84" s="996">
        <v>0</v>
      </c>
      <c r="H84" s="996">
        <f t="shared" si="29"/>
        <v>0</v>
      </c>
      <c r="I84" s="997">
        <f t="shared" si="29"/>
        <v>0</v>
      </c>
      <c r="J84" s="997">
        <f t="shared" si="29"/>
        <v>0</v>
      </c>
      <c r="K84" s="997">
        <f t="shared" si="29"/>
        <v>0</v>
      </c>
      <c r="L84" s="997">
        <f t="shared" si="30"/>
        <v>0</v>
      </c>
      <c r="M84" s="997">
        <f t="shared" si="30"/>
        <v>0</v>
      </c>
      <c r="N84" s="91"/>
      <c r="O84" s="67">
        <f>+G84*tab!D$20</f>
        <v>0</v>
      </c>
      <c r="P84" s="67">
        <f>+H84*tab!E$20</f>
        <v>0</v>
      </c>
      <c r="Q84" s="67">
        <f>+I84*tab!F$20</f>
        <v>0</v>
      </c>
      <c r="R84" s="67">
        <f>+J84*tab!G$20</f>
        <v>0</v>
      </c>
      <c r="S84" s="67">
        <f>+K84*tab!H$20</f>
        <v>0</v>
      </c>
      <c r="T84" s="67">
        <f>+L84*tab!I$20</f>
        <v>0</v>
      </c>
      <c r="U84" s="67">
        <f>+M84*tab!J$20</f>
        <v>0</v>
      </c>
      <c r="V84" s="91"/>
      <c r="W84" s="1274"/>
      <c r="X84" s="1201">
        <f>+G84*tab!D$21</f>
        <v>0</v>
      </c>
      <c r="Y84" s="1201">
        <f>+H84*tab!E$21</f>
        <v>0</v>
      </c>
      <c r="Z84" s="1201">
        <f>+I84*tab!F$21</f>
        <v>0</v>
      </c>
      <c r="AA84" s="1201">
        <f>+J84*tab!G$21</f>
        <v>0</v>
      </c>
      <c r="AB84" s="1201">
        <f>+K84*tab!H$21</f>
        <v>0</v>
      </c>
      <c r="AC84" s="1201">
        <f>+L84*tab!$D$21</f>
        <v>0</v>
      </c>
      <c r="AD84" s="1201">
        <f>+M84*tab!$D$21</f>
        <v>0</v>
      </c>
      <c r="AE84" s="91"/>
      <c r="AF84" s="1016"/>
      <c r="AG84" s="1004"/>
      <c r="AH84" s="1004"/>
      <c r="AI84" s="1004"/>
      <c r="AJ84" s="1004"/>
      <c r="AK84" s="1004"/>
      <c r="AL84" s="1004"/>
      <c r="AM84" s="1004"/>
      <c r="AN84" s="1004"/>
      <c r="AO84" s="1004"/>
      <c r="AP84" s="1004"/>
      <c r="AQ84" s="1004"/>
      <c r="AR84" s="1004"/>
      <c r="AS84" s="1004"/>
    </row>
    <row r="85" spans="2:45" s="112" customFormat="1" x14ac:dyDescent="0.2">
      <c r="B85" s="953"/>
      <c r="C85" s="70">
        <v>15</v>
      </c>
      <c r="D85" s="150" t="s">
        <v>635</v>
      </c>
      <c r="E85" s="831" t="s">
        <v>274</v>
      </c>
      <c r="F85" s="938" t="s">
        <v>503</v>
      </c>
      <c r="G85" s="996">
        <v>0</v>
      </c>
      <c r="H85" s="996">
        <f t="shared" si="29"/>
        <v>0</v>
      </c>
      <c r="I85" s="997">
        <f t="shared" si="29"/>
        <v>0</v>
      </c>
      <c r="J85" s="997">
        <f t="shared" si="29"/>
        <v>0</v>
      </c>
      <c r="K85" s="997">
        <f t="shared" si="29"/>
        <v>0</v>
      </c>
      <c r="L85" s="997">
        <f t="shared" si="30"/>
        <v>0</v>
      </c>
      <c r="M85" s="997">
        <f t="shared" si="30"/>
        <v>0</v>
      </c>
      <c r="N85" s="91"/>
      <c r="O85" s="67">
        <f>+G85*tab!D$20</f>
        <v>0</v>
      </c>
      <c r="P85" s="67">
        <f>+H85*tab!E$20</f>
        <v>0</v>
      </c>
      <c r="Q85" s="67">
        <f>+I85*tab!F$20</f>
        <v>0</v>
      </c>
      <c r="R85" s="67">
        <f>+J85*tab!G$20</f>
        <v>0</v>
      </c>
      <c r="S85" s="67">
        <f>+K85*tab!H$20</f>
        <v>0</v>
      </c>
      <c r="T85" s="67">
        <f>+L85*tab!I$20</f>
        <v>0</v>
      </c>
      <c r="U85" s="67">
        <f>+M85*tab!J$20</f>
        <v>0</v>
      </c>
      <c r="V85" s="91"/>
      <c r="W85" s="1274"/>
      <c r="X85" s="1201">
        <f>+G85*tab!D$21</f>
        <v>0</v>
      </c>
      <c r="Y85" s="1201">
        <f>+H85*tab!E$21</f>
        <v>0</v>
      </c>
      <c r="Z85" s="1201">
        <f>+I85*tab!F$21</f>
        <v>0</v>
      </c>
      <c r="AA85" s="1201">
        <f>+J85*tab!G$21</f>
        <v>0</v>
      </c>
      <c r="AB85" s="1201">
        <f>+K85*tab!H$21</f>
        <v>0</v>
      </c>
      <c r="AC85" s="1201">
        <f>+L85*tab!$D$21</f>
        <v>0</v>
      </c>
      <c r="AD85" s="1201">
        <f>+M85*tab!$D$21</f>
        <v>0</v>
      </c>
      <c r="AE85" s="91"/>
      <c r="AF85" s="1016"/>
      <c r="AG85" s="1004"/>
      <c r="AH85" s="1004"/>
      <c r="AI85" s="1004"/>
      <c r="AJ85" s="1004"/>
      <c r="AK85" s="1004"/>
      <c r="AL85" s="1004"/>
      <c r="AM85" s="1004"/>
      <c r="AN85" s="1004"/>
      <c r="AO85" s="1004"/>
      <c r="AP85" s="1004"/>
      <c r="AQ85" s="1004"/>
      <c r="AR85" s="1004"/>
      <c r="AS85" s="1004"/>
    </row>
    <row r="86" spans="2:45" s="112" customFormat="1" x14ac:dyDescent="0.2">
      <c r="B86" s="953"/>
      <c r="C86" s="70"/>
      <c r="D86" s="955"/>
      <c r="E86" s="1320"/>
      <c r="F86" s="938" t="s">
        <v>504</v>
      </c>
      <c r="G86" s="996">
        <v>0</v>
      </c>
      <c r="H86" s="996">
        <f t="shared" si="29"/>
        <v>0</v>
      </c>
      <c r="I86" s="997">
        <f t="shared" si="29"/>
        <v>0</v>
      </c>
      <c r="J86" s="997">
        <f t="shared" si="29"/>
        <v>0</v>
      </c>
      <c r="K86" s="997">
        <f t="shared" si="29"/>
        <v>0</v>
      </c>
      <c r="L86" s="997">
        <f t="shared" si="30"/>
        <v>0</v>
      </c>
      <c r="M86" s="997">
        <f t="shared" si="30"/>
        <v>0</v>
      </c>
      <c r="N86" s="91"/>
      <c r="O86" s="67">
        <f>+G86*tab!D$20</f>
        <v>0</v>
      </c>
      <c r="P86" s="67">
        <f>+H86*tab!E$20</f>
        <v>0</v>
      </c>
      <c r="Q86" s="67">
        <f>+I86*tab!F$20</f>
        <v>0</v>
      </c>
      <c r="R86" s="67">
        <f>+J86*tab!G$20</f>
        <v>0</v>
      </c>
      <c r="S86" s="67">
        <f>+K86*tab!H$20</f>
        <v>0</v>
      </c>
      <c r="T86" s="67">
        <f>+L86*tab!I$20</f>
        <v>0</v>
      </c>
      <c r="U86" s="67">
        <f>+M86*tab!J$20</f>
        <v>0</v>
      </c>
      <c r="V86" s="91"/>
      <c r="W86" s="1274"/>
      <c r="X86" s="1201">
        <f>+G86*tab!D$21</f>
        <v>0</v>
      </c>
      <c r="Y86" s="1201">
        <f>+H86*tab!E$21</f>
        <v>0</v>
      </c>
      <c r="Z86" s="1201">
        <f>+I86*tab!F$21</f>
        <v>0</v>
      </c>
      <c r="AA86" s="1201">
        <f>+J86*tab!G$21</f>
        <v>0</v>
      </c>
      <c r="AB86" s="1201">
        <f>+K86*tab!H$21</f>
        <v>0</v>
      </c>
      <c r="AC86" s="1201">
        <f>+L86*tab!$D$21</f>
        <v>0</v>
      </c>
      <c r="AD86" s="1201">
        <f>+M86*tab!$D$21</f>
        <v>0</v>
      </c>
      <c r="AE86" s="91"/>
      <c r="AF86" s="1016"/>
      <c r="AG86" s="1004"/>
      <c r="AH86" s="1004"/>
      <c r="AI86" s="1004"/>
      <c r="AJ86" s="1004"/>
      <c r="AK86" s="1004"/>
      <c r="AL86" s="1004"/>
      <c r="AM86" s="1004"/>
      <c r="AN86" s="1004"/>
      <c r="AO86" s="1004"/>
      <c r="AP86" s="1004"/>
      <c r="AQ86" s="1004"/>
      <c r="AR86" s="1004"/>
      <c r="AS86" s="1004"/>
    </row>
    <row r="87" spans="2:45" s="112" customFormat="1" x14ac:dyDescent="0.2">
      <c r="B87" s="953"/>
      <c r="C87" s="70">
        <v>16</v>
      </c>
      <c r="D87" s="150" t="s">
        <v>636</v>
      </c>
      <c r="E87" s="831" t="s">
        <v>274</v>
      </c>
      <c r="F87" s="938" t="s">
        <v>503</v>
      </c>
      <c r="G87" s="996">
        <v>0</v>
      </c>
      <c r="H87" s="996">
        <f t="shared" si="29"/>
        <v>0</v>
      </c>
      <c r="I87" s="997">
        <f t="shared" si="29"/>
        <v>0</v>
      </c>
      <c r="J87" s="997">
        <f t="shared" si="29"/>
        <v>0</v>
      </c>
      <c r="K87" s="997">
        <f t="shared" si="29"/>
        <v>0</v>
      </c>
      <c r="L87" s="997">
        <f t="shared" si="30"/>
        <v>0</v>
      </c>
      <c r="M87" s="997">
        <f t="shared" si="30"/>
        <v>0</v>
      </c>
      <c r="N87" s="91"/>
      <c r="O87" s="67">
        <f>+G87*tab!D$20</f>
        <v>0</v>
      </c>
      <c r="P87" s="67">
        <f>+H87*tab!E$20</f>
        <v>0</v>
      </c>
      <c r="Q87" s="67">
        <f>+I87*tab!F$20</f>
        <v>0</v>
      </c>
      <c r="R87" s="67">
        <f>+J87*tab!G$20</f>
        <v>0</v>
      </c>
      <c r="S87" s="67">
        <f>+K87*tab!H$20</f>
        <v>0</v>
      </c>
      <c r="T87" s="67">
        <f>+L87*tab!I$20</f>
        <v>0</v>
      </c>
      <c r="U87" s="67">
        <f>+M87*tab!J$20</f>
        <v>0</v>
      </c>
      <c r="V87" s="91"/>
      <c r="W87" s="1274"/>
      <c r="X87" s="1201">
        <f>+G87*tab!D$21</f>
        <v>0</v>
      </c>
      <c r="Y87" s="1201">
        <f>+H87*tab!E$21</f>
        <v>0</v>
      </c>
      <c r="Z87" s="1201">
        <f>+I87*tab!F$21</f>
        <v>0</v>
      </c>
      <c r="AA87" s="1201">
        <f>+J87*tab!G$21</f>
        <v>0</v>
      </c>
      <c r="AB87" s="1201">
        <f>+K87*tab!H$21</f>
        <v>0</v>
      </c>
      <c r="AC87" s="1201">
        <f>+L87*tab!$D$21</f>
        <v>0</v>
      </c>
      <c r="AD87" s="1201">
        <f>+M87*tab!$D$21</f>
        <v>0</v>
      </c>
      <c r="AE87" s="91"/>
      <c r="AF87" s="1016"/>
      <c r="AG87" s="1004"/>
      <c r="AH87" s="1004"/>
      <c r="AI87" s="1004"/>
      <c r="AJ87" s="1004"/>
      <c r="AK87" s="1004"/>
      <c r="AL87" s="1004"/>
      <c r="AM87" s="1004"/>
      <c r="AN87" s="1004"/>
      <c r="AO87" s="1004"/>
      <c r="AP87" s="1004"/>
      <c r="AQ87" s="1004"/>
      <c r="AR87" s="1004"/>
      <c r="AS87" s="1004"/>
    </row>
    <row r="88" spans="2:45" s="112" customFormat="1" x14ac:dyDescent="0.2">
      <c r="B88" s="953"/>
      <c r="C88" s="70"/>
      <c r="D88" s="955"/>
      <c r="E88" s="1320"/>
      <c r="F88" s="938" t="s">
        <v>504</v>
      </c>
      <c r="G88" s="996">
        <v>0</v>
      </c>
      <c r="H88" s="996">
        <f t="shared" si="29"/>
        <v>0</v>
      </c>
      <c r="I88" s="997">
        <f t="shared" si="29"/>
        <v>0</v>
      </c>
      <c r="J88" s="997">
        <f t="shared" si="29"/>
        <v>0</v>
      </c>
      <c r="K88" s="997">
        <f t="shared" si="29"/>
        <v>0</v>
      </c>
      <c r="L88" s="997">
        <f t="shared" si="30"/>
        <v>0</v>
      </c>
      <c r="M88" s="997">
        <f t="shared" si="30"/>
        <v>0</v>
      </c>
      <c r="N88" s="91"/>
      <c r="O88" s="67">
        <f>+G88*tab!D$20</f>
        <v>0</v>
      </c>
      <c r="P88" s="67">
        <f>+H88*tab!E$20</f>
        <v>0</v>
      </c>
      <c r="Q88" s="67">
        <f>+I88*tab!F$20</f>
        <v>0</v>
      </c>
      <c r="R88" s="67">
        <f>+J88*tab!G$20</f>
        <v>0</v>
      </c>
      <c r="S88" s="67">
        <f>+K88*tab!H$20</f>
        <v>0</v>
      </c>
      <c r="T88" s="67">
        <f>+L88*tab!I$20</f>
        <v>0</v>
      </c>
      <c r="U88" s="67">
        <f>+M88*tab!J$20</f>
        <v>0</v>
      </c>
      <c r="V88" s="91"/>
      <c r="W88" s="1274"/>
      <c r="X88" s="1201">
        <f>+G88*tab!D$21</f>
        <v>0</v>
      </c>
      <c r="Y88" s="1201">
        <f>+H88*tab!E$21</f>
        <v>0</v>
      </c>
      <c r="Z88" s="1201">
        <f>+I88*tab!F$21</f>
        <v>0</v>
      </c>
      <c r="AA88" s="1201">
        <f>+J88*tab!G$21</f>
        <v>0</v>
      </c>
      <c r="AB88" s="1201">
        <f>+K88*tab!H$21</f>
        <v>0</v>
      </c>
      <c r="AC88" s="1201">
        <f>+L88*tab!$D$21</f>
        <v>0</v>
      </c>
      <c r="AD88" s="1201">
        <f>+M88*tab!$D$21</f>
        <v>0</v>
      </c>
      <c r="AE88" s="91"/>
      <c r="AF88" s="1016"/>
      <c r="AG88" s="1004"/>
      <c r="AH88" s="1004"/>
      <c r="AI88" s="1004"/>
      <c r="AJ88" s="1004"/>
      <c r="AK88" s="1004"/>
      <c r="AL88" s="1004"/>
      <c r="AM88" s="1004"/>
      <c r="AN88" s="1004"/>
      <c r="AO88" s="1004"/>
      <c r="AP88" s="1004"/>
      <c r="AQ88" s="1004"/>
      <c r="AR88" s="1004"/>
      <c r="AS88" s="1004"/>
    </row>
    <row r="89" spans="2:45" s="112" customFormat="1" x14ac:dyDescent="0.2">
      <c r="B89" s="953"/>
      <c r="C89" s="70">
        <v>17</v>
      </c>
      <c r="D89" s="150" t="s">
        <v>637</v>
      </c>
      <c r="E89" s="831" t="s">
        <v>274</v>
      </c>
      <c r="F89" s="938" t="s">
        <v>503</v>
      </c>
      <c r="G89" s="996">
        <v>0</v>
      </c>
      <c r="H89" s="996">
        <f t="shared" si="29"/>
        <v>0</v>
      </c>
      <c r="I89" s="997">
        <f t="shared" si="29"/>
        <v>0</v>
      </c>
      <c r="J89" s="997">
        <f t="shared" si="29"/>
        <v>0</v>
      </c>
      <c r="K89" s="997">
        <f t="shared" si="29"/>
        <v>0</v>
      </c>
      <c r="L89" s="997">
        <f t="shared" si="30"/>
        <v>0</v>
      </c>
      <c r="M89" s="997">
        <f t="shared" si="30"/>
        <v>0</v>
      </c>
      <c r="N89" s="91"/>
      <c r="O89" s="67">
        <f>+G89*tab!D$20</f>
        <v>0</v>
      </c>
      <c r="P89" s="67">
        <f>+H89*tab!E$20</f>
        <v>0</v>
      </c>
      <c r="Q89" s="67">
        <f>+I89*tab!F$20</f>
        <v>0</v>
      </c>
      <c r="R89" s="67">
        <f>+J89*tab!G$20</f>
        <v>0</v>
      </c>
      <c r="S89" s="67">
        <f>+K89*tab!H$20</f>
        <v>0</v>
      </c>
      <c r="T89" s="67">
        <f>+L89*tab!I$20</f>
        <v>0</v>
      </c>
      <c r="U89" s="67">
        <f>+M89*tab!J$20</f>
        <v>0</v>
      </c>
      <c r="V89" s="91"/>
      <c r="W89" s="1274"/>
      <c r="X89" s="1201">
        <f>+G89*tab!D$21</f>
        <v>0</v>
      </c>
      <c r="Y89" s="1201">
        <f>+H89*tab!E$21</f>
        <v>0</v>
      </c>
      <c r="Z89" s="1201">
        <f>+I89*tab!F$21</f>
        <v>0</v>
      </c>
      <c r="AA89" s="1201">
        <f>+J89*tab!G$21</f>
        <v>0</v>
      </c>
      <c r="AB89" s="1201">
        <f>+K89*tab!H$21</f>
        <v>0</v>
      </c>
      <c r="AC89" s="1201">
        <f>+L89*tab!$D$21</f>
        <v>0</v>
      </c>
      <c r="AD89" s="1201">
        <f>+M89*tab!$D$21</f>
        <v>0</v>
      </c>
      <c r="AE89" s="91"/>
      <c r="AF89" s="1016"/>
      <c r="AG89" s="1004"/>
      <c r="AH89" s="1004"/>
      <c r="AI89" s="1004"/>
      <c r="AJ89" s="1004"/>
      <c r="AK89" s="1004"/>
      <c r="AL89" s="1004"/>
      <c r="AM89" s="1004"/>
      <c r="AN89" s="1004"/>
      <c r="AO89" s="1004"/>
      <c r="AP89" s="1004"/>
      <c r="AQ89" s="1004"/>
      <c r="AR89" s="1004"/>
      <c r="AS89" s="1004"/>
    </row>
    <row r="90" spans="2:45" s="112" customFormat="1" x14ac:dyDescent="0.2">
      <c r="B90" s="953"/>
      <c r="C90" s="70"/>
      <c r="D90" s="955"/>
      <c r="E90" s="1320"/>
      <c r="F90" s="938" t="s">
        <v>504</v>
      </c>
      <c r="G90" s="996">
        <v>0</v>
      </c>
      <c r="H90" s="996">
        <f t="shared" si="29"/>
        <v>0</v>
      </c>
      <c r="I90" s="997">
        <f t="shared" si="29"/>
        <v>0</v>
      </c>
      <c r="J90" s="997">
        <f t="shared" si="29"/>
        <v>0</v>
      </c>
      <c r="K90" s="997">
        <f t="shared" si="29"/>
        <v>0</v>
      </c>
      <c r="L90" s="997">
        <f t="shared" si="30"/>
        <v>0</v>
      </c>
      <c r="M90" s="997">
        <f t="shared" si="30"/>
        <v>0</v>
      </c>
      <c r="N90" s="91"/>
      <c r="O90" s="67">
        <f>+G90*tab!D$20</f>
        <v>0</v>
      </c>
      <c r="P90" s="67">
        <f>+H90*tab!E$20</f>
        <v>0</v>
      </c>
      <c r="Q90" s="67">
        <f>+I90*tab!F$20</f>
        <v>0</v>
      </c>
      <c r="R90" s="67">
        <f>+J90*tab!G$20</f>
        <v>0</v>
      </c>
      <c r="S90" s="67">
        <f>+K90*tab!H$20</f>
        <v>0</v>
      </c>
      <c r="T90" s="67">
        <f>+L90*tab!I$20</f>
        <v>0</v>
      </c>
      <c r="U90" s="67">
        <f>+M90*tab!J$20</f>
        <v>0</v>
      </c>
      <c r="V90" s="91"/>
      <c r="W90" s="1274"/>
      <c r="X90" s="1201">
        <f>+G90*tab!D$21</f>
        <v>0</v>
      </c>
      <c r="Y90" s="1201">
        <f>+H90*tab!E$21</f>
        <v>0</v>
      </c>
      <c r="Z90" s="1201">
        <f>+I90*tab!F$21</f>
        <v>0</v>
      </c>
      <c r="AA90" s="1201">
        <f>+J90*tab!G$21</f>
        <v>0</v>
      </c>
      <c r="AB90" s="1201">
        <f>+K90*tab!H$21</f>
        <v>0</v>
      </c>
      <c r="AC90" s="1201">
        <f>+L90*tab!$D$21</f>
        <v>0</v>
      </c>
      <c r="AD90" s="1201">
        <f>+M90*tab!$D$21</f>
        <v>0</v>
      </c>
      <c r="AE90" s="91"/>
      <c r="AF90" s="1016"/>
      <c r="AG90" s="1004"/>
      <c r="AH90" s="1004"/>
      <c r="AI90" s="1004"/>
      <c r="AJ90" s="1004"/>
      <c r="AK90" s="1004"/>
      <c r="AL90" s="1004"/>
      <c r="AM90" s="1004"/>
      <c r="AN90" s="1004"/>
      <c r="AO90" s="1004"/>
      <c r="AP90" s="1004"/>
      <c r="AQ90" s="1004"/>
      <c r="AR90" s="1004"/>
      <c r="AS90" s="1004"/>
    </row>
    <row r="91" spans="2:45" s="112" customFormat="1" x14ac:dyDescent="0.2">
      <c r="B91" s="953"/>
      <c r="C91" s="70">
        <v>18</v>
      </c>
      <c r="D91" s="150" t="s">
        <v>638</v>
      </c>
      <c r="E91" s="831" t="s">
        <v>274</v>
      </c>
      <c r="F91" s="938" t="s">
        <v>503</v>
      </c>
      <c r="G91" s="996">
        <v>0</v>
      </c>
      <c r="H91" s="996">
        <f t="shared" si="29"/>
        <v>0</v>
      </c>
      <c r="I91" s="997">
        <f t="shared" si="29"/>
        <v>0</v>
      </c>
      <c r="J91" s="997">
        <f t="shared" si="29"/>
        <v>0</v>
      </c>
      <c r="K91" s="997">
        <f t="shared" si="29"/>
        <v>0</v>
      </c>
      <c r="L91" s="997">
        <f t="shared" si="30"/>
        <v>0</v>
      </c>
      <c r="M91" s="997">
        <f t="shared" si="30"/>
        <v>0</v>
      </c>
      <c r="N91" s="91"/>
      <c r="O91" s="67">
        <f>+G91*tab!D$20</f>
        <v>0</v>
      </c>
      <c r="P91" s="67">
        <f>+H91*tab!E$20</f>
        <v>0</v>
      </c>
      <c r="Q91" s="67">
        <f>+I91*tab!F$20</f>
        <v>0</v>
      </c>
      <c r="R91" s="67">
        <f>+J91*tab!G$20</f>
        <v>0</v>
      </c>
      <c r="S91" s="67">
        <f>+K91*tab!H$20</f>
        <v>0</v>
      </c>
      <c r="T91" s="67">
        <f>+L91*tab!I$20</f>
        <v>0</v>
      </c>
      <c r="U91" s="67">
        <f>+M91*tab!J$20</f>
        <v>0</v>
      </c>
      <c r="V91" s="91"/>
      <c r="W91" s="1274"/>
      <c r="X91" s="1201">
        <f>+G91*tab!D$21</f>
        <v>0</v>
      </c>
      <c r="Y91" s="1201">
        <f>+H91*tab!E$21</f>
        <v>0</v>
      </c>
      <c r="Z91" s="1201">
        <f>+I91*tab!F$21</f>
        <v>0</v>
      </c>
      <c r="AA91" s="1201">
        <f>+J91*tab!G$21</f>
        <v>0</v>
      </c>
      <c r="AB91" s="1201">
        <f>+K91*tab!H$21</f>
        <v>0</v>
      </c>
      <c r="AC91" s="1201">
        <f>+L91*tab!$D$21</f>
        <v>0</v>
      </c>
      <c r="AD91" s="1201">
        <f>+M91*tab!$D$21</f>
        <v>0</v>
      </c>
      <c r="AE91" s="91"/>
      <c r="AF91" s="1016"/>
      <c r="AG91" s="1004"/>
      <c r="AH91" s="1004"/>
      <c r="AI91" s="1004"/>
      <c r="AJ91" s="1004"/>
      <c r="AK91" s="1004"/>
      <c r="AL91" s="1004"/>
      <c r="AM91" s="1004"/>
      <c r="AN91" s="1004"/>
      <c r="AO91" s="1004"/>
      <c r="AP91" s="1004"/>
      <c r="AQ91" s="1004"/>
      <c r="AR91" s="1004"/>
      <c r="AS91" s="1004"/>
    </row>
    <row r="92" spans="2:45" s="112" customFormat="1" x14ac:dyDescent="0.2">
      <c r="B92" s="953"/>
      <c r="C92" s="70"/>
      <c r="D92" s="955"/>
      <c r="E92" s="1320"/>
      <c r="F92" s="938" t="s">
        <v>504</v>
      </c>
      <c r="G92" s="996">
        <v>0</v>
      </c>
      <c r="H92" s="996">
        <f t="shared" si="29"/>
        <v>0</v>
      </c>
      <c r="I92" s="997">
        <f t="shared" si="29"/>
        <v>0</v>
      </c>
      <c r="J92" s="997">
        <f t="shared" si="29"/>
        <v>0</v>
      </c>
      <c r="K92" s="997">
        <f t="shared" si="29"/>
        <v>0</v>
      </c>
      <c r="L92" s="997">
        <f t="shared" si="30"/>
        <v>0</v>
      </c>
      <c r="M92" s="997">
        <f t="shared" si="30"/>
        <v>0</v>
      </c>
      <c r="N92" s="91"/>
      <c r="O92" s="67">
        <f>+G92*tab!D$20</f>
        <v>0</v>
      </c>
      <c r="P92" s="67">
        <f>+H92*tab!E$20</f>
        <v>0</v>
      </c>
      <c r="Q92" s="67">
        <f>+I92*tab!F$20</f>
        <v>0</v>
      </c>
      <c r="R92" s="67">
        <f>+J92*tab!G$20</f>
        <v>0</v>
      </c>
      <c r="S92" s="67">
        <f>+K92*tab!H$20</f>
        <v>0</v>
      </c>
      <c r="T92" s="67">
        <f>+L92*tab!I$20</f>
        <v>0</v>
      </c>
      <c r="U92" s="67">
        <f>+M92*tab!J$20</f>
        <v>0</v>
      </c>
      <c r="V92" s="91"/>
      <c r="W92" s="1274"/>
      <c r="X92" s="1201">
        <f>+G92*tab!D$21</f>
        <v>0</v>
      </c>
      <c r="Y92" s="1201">
        <f>+H92*tab!E$21</f>
        <v>0</v>
      </c>
      <c r="Z92" s="1201">
        <f>+I92*tab!F$21</f>
        <v>0</v>
      </c>
      <c r="AA92" s="1201">
        <f>+J92*tab!G$21</f>
        <v>0</v>
      </c>
      <c r="AB92" s="1201">
        <f>+K92*tab!H$21</f>
        <v>0</v>
      </c>
      <c r="AC92" s="1201">
        <f>+L92*tab!$D$21</f>
        <v>0</v>
      </c>
      <c r="AD92" s="1201">
        <f>+M92*tab!$D$21</f>
        <v>0</v>
      </c>
      <c r="AE92" s="91"/>
      <c r="AF92" s="1016"/>
      <c r="AG92" s="1004"/>
      <c r="AH92" s="1004"/>
      <c r="AI92" s="1004"/>
      <c r="AJ92" s="1004"/>
      <c r="AK92" s="1004"/>
      <c r="AL92" s="1004"/>
      <c r="AM92" s="1004"/>
      <c r="AN92" s="1004"/>
      <c r="AO92" s="1004"/>
      <c r="AP92" s="1004"/>
      <c r="AQ92" s="1004"/>
      <c r="AR92" s="1004"/>
      <c r="AS92" s="1004"/>
    </row>
    <row r="93" spans="2:45" s="112" customFormat="1" x14ac:dyDescent="0.2">
      <c r="B93" s="953"/>
      <c r="C93" s="70">
        <v>19</v>
      </c>
      <c r="D93" s="150" t="s">
        <v>639</v>
      </c>
      <c r="E93" s="831" t="s">
        <v>274</v>
      </c>
      <c r="F93" s="938" t="s">
        <v>503</v>
      </c>
      <c r="G93" s="996">
        <v>0</v>
      </c>
      <c r="H93" s="996">
        <f t="shared" si="29"/>
        <v>0</v>
      </c>
      <c r="I93" s="997">
        <f t="shared" si="29"/>
        <v>0</v>
      </c>
      <c r="J93" s="997">
        <f t="shared" si="29"/>
        <v>0</v>
      </c>
      <c r="K93" s="997">
        <f t="shared" si="29"/>
        <v>0</v>
      </c>
      <c r="L93" s="997">
        <f t="shared" si="30"/>
        <v>0</v>
      </c>
      <c r="M93" s="997">
        <f t="shared" si="30"/>
        <v>0</v>
      </c>
      <c r="N93" s="91"/>
      <c r="O93" s="67">
        <f>+G93*tab!D$20</f>
        <v>0</v>
      </c>
      <c r="P93" s="67">
        <f>+H93*tab!E$20</f>
        <v>0</v>
      </c>
      <c r="Q93" s="67">
        <f>+I93*tab!F$20</f>
        <v>0</v>
      </c>
      <c r="R93" s="67">
        <f>+J93*tab!G$20</f>
        <v>0</v>
      </c>
      <c r="S93" s="67">
        <f>+K93*tab!H$20</f>
        <v>0</v>
      </c>
      <c r="T93" s="67">
        <f>+L93*tab!I$20</f>
        <v>0</v>
      </c>
      <c r="U93" s="67">
        <f>+M93*tab!J$20</f>
        <v>0</v>
      </c>
      <c r="V93" s="91"/>
      <c r="W93" s="1274"/>
      <c r="X93" s="1201">
        <f>+G93*tab!D$21</f>
        <v>0</v>
      </c>
      <c r="Y93" s="1201">
        <f>+H93*tab!E$21</f>
        <v>0</v>
      </c>
      <c r="Z93" s="1201">
        <f>+I93*tab!F$21</f>
        <v>0</v>
      </c>
      <c r="AA93" s="1201">
        <f>+J93*tab!G$21</f>
        <v>0</v>
      </c>
      <c r="AB93" s="1201">
        <f>+K93*tab!H$21</f>
        <v>0</v>
      </c>
      <c r="AC93" s="1201">
        <f>+L93*tab!$D$21</f>
        <v>0</v>
      </c>
      <c r="AD93" s="1201">
        <f>+M93*tab!$D$21</f>
        <v>0</v>
      </c>
      <c r="AE93" s="91"/>
      <c r="AF93" s="1016"/>
      <c r="AG93" s="1004"/>
      <c r="AH93" s="1004"/>
      <c r="AI93" s="1004"/>
      <c r="AJ93" s="1004"/>
      <c r="AK93" s="1004"/>
      <c r="AL93" s="1004"/>
      <c r="AM93" s="1004"/>
      <c r="AN93" s="1004"/>
      <c r="AO93" s="1004"/>
      <c r="AP93" s="1004"/>
      <c r="AQ93" s="1004"/>
      <c r="AR93" s="1004"/>
      <c r="AS93" s="1004"/>
    </row>
    <row r="94" spans="2:45" s="112" customFormat="1" x14ac:dyDescent="0.2">
      <c r="B94" s="953"/>
      <c r="C94" s="70"/>
      <c r="D94" s="955"/>
      <c r="E94" s="1320"/>
      <c r="F94" s="938" t="s">
        <v>504</v>
      </c>
      <c r="G94" s="996">
        <v>0</v>
      </c>
      <c r="H94" s="996">
        <f t="shared" si="29"/>
        <v>0</v>
      </c>
      <c r="I94" s="997">
        <f t="shared" si="29"/>
        <v>0</v>
      </c>
      <c r="J94" s="997">
        <f t="shared" si="29"/>
        <v>0</v>
      </c>
      <c r="K94" s="997">
        <f t="shared" si="29"/>
        <v>0</v>
      </c>
      <c r="L94" s="997">
        <f t="shared" si="30"/>
        <v>0</v>
      </c>
      <c r="M94" s="997">
        <f t="shared" si="30"/>
        <v>0</v>
      </c>
      <c r="N94" s="91"/>
      <c r="O94" s="67">
        <f>+G94*tab!D$20</f>
        <v>0</v>
      </c>
      <c r="P94" s="67">
        <f>+H94*tab!E$20</f>
        <v>0</v>
      </c>
      <c r="Q94" s="67">
        <f>+I94*tab!F$20</f>
        <v>0</v>
      </c>
      <c r="R94" s="67">
        <f>+J94*tab!G$20</f>
        <v>0</v>
      </c>
      <c r="S94" s="67">
        <f>+K94*tab!H$20</f>
        <v>0</v>
      </c>
      <c r="T94" s="67">
        <f>+L94*tab!I$20</f>
        <v>0</v>
      </c>
      <c r="U94" s="67">
        <f>+M94*tab!J$20</f>
        <v>0</v>
      </c>
      <c r="V94" s="91"/>
      <c r="W94" s="1274"/>
      <c r="X94" s="1201">
        <f>+G94*tab!D$21</f>
        <v>0</v>
      </c>
      <c r="Y94" s="1201">
        <f>+H94*tab!E$21</f>
        <v>0</v>
      </c>
      <c r="Z94" s="1201">
        <f>+I94*tab!F$21</f>
        <v>0</v>
      </c>
      <c r="AA94" s="1201">
        <f>+J94*tab!G$21</f>
        <v>0</v>
      </c>
      <c r="AB94" s="1201">
        <f>+K94*tab!H$21</f>
        <v>0</v>
      </c>
      <c r="AC94" s="1201">
        <f>+L94*tab!$D$21</f>
        <v>0</v>
      </c>
      <c r="AD94" s="1201">
        <f>+M94*tab!$D$21</f>
        <v>0</v>
      </c>
      <c r="AE94" s="91"/>
      <c r="AF94" s="1016"/>
      <c r="AG94" s="1004"/>
      <c r="AH94" s="1004"/>
      <c r="AI94" s="1004"/>
      <c r="AJ94" s="1004"/>
      <c r="AK94" s="1004"/>
      <c r="AL94" s="1004"/>
      <c r="AM94" s="1004"/>
      <c r="AN94" s="1004"/>
      <c r="AO94" s="1004"/>
      <c r="AP94" s="1004"/>
      <c r="AQ94" s="1004"/>
      <c r="AR94" s="1004"/>
      <c r="AS94" s="1004"/>
    </row>
    <row r="95" spans="2:45" s="112" customFormat="1" x14ac:dyDescent="0.2">
      <c r="B95" s="953"/>
      <c r="C95" s="70">
        <v>20</v>
      </c>
      <c r="D95" s="150" t="s">
        <v>640</v>
      </c>
      <c r="E95" s="831" t="s">
        <v>274</v>
      </c>
      <c r="F95" s="938" t="s">
        <v>503</v>
      </c>
      <c r="G95" s="996">
        <v>0</v>
      </c>
      <c r="H95" s="996">
        <f t="shared" si="29"/>
        <v>0</v>
      </c>
      <c r="I95" s="997">
        <f t="shared" si="29"/>
        <v>0</v>
      </c>
      <c r="J95" s="997">
        <f t="shared" si="29"/>
        <v>0</v>
      </c>
      <c r="K95" s="997">
        <f t="shared" si="29"/>
        <v>0</v>
      </c>
      <c r="L95" s="997">
        <f t="shared" si="30"/>
        <v>0</v>
      </c>
      <c r="M95" s="997">
        <f t="shared" si="30"/>
        <v>0</v>
      </c>
      <c r="N95" s="91"/>
      <c r="O95" s="67">
        <f>+G95*tab!D$20</f>
        <v>0</v>
      </c>
      <c r="P95" s="67">
        <f>+H95*tab!E$20</f>
        <v>0</v>
      </c>
      <c r="Q95" s="67">
        <f>+I95*tab!F$20</f>
        <v>0</v>
      </c>
      <c r="R95" s="67">
        <f>+J95*tab!G$20</f>
        <v>0</v>
      </c>
      <c r="S95" s="67">
        <f>+K95*tab!H$20</f>
        <v>0</v>
      </c>
      <c r="T95" s="67">
        <f>+L95*tab!I$20</f>
        <v>0</v>
      </c>
      <c r="U95" s="67">
        <f>+M95*tab!J$20</f>
        <v>0</v>
      </c>
      <c r="V95" s="91"/>
      <c r="W95" s="1274"/>
      <c r="X95" s="1201">
        <f>+G95*tab!D$21</f>
        <v>0</v>
      </c>
      <c r="Y95" s="1201">
        <f>+H95*tab!E$21</f>
        <v>0</v>
      </c>
      <c r="Z95" s="1201">
        <f>+I95*tab!F$21</f>
        <v>0</v>
      </c>
      <c r="AA95" s="1201">
        <f>+J95*tab!G$21</f>
        <v>0</v>
      </c>
      <c r="AB95" s="1201">
        <f>+K95*tab!H$21</f>
        <v>0</v>
      </c>
      <c r="AC95" s="1201">
        <f>+L95*tab!$D$21</f>
        <v>0</v>
      </c>
      <c r="AD95" s="1201">
        <f>+M95*tab!$D$21</f>
        <v>0</v>
      </c>
      <c r="AE95" s="91"/>
      <c r="AF95" s="1016"/>
      <c r="AG95" s="1004"/>
      <c r="AH95" s="1004"/>
      <c r="AI95" s="1004"/>
      <c r="AJ95" s="1004"/>
      <c r="AK95" s="1004"/>
      <c r="AL95" s="1004"/>
      <c r="AM95" s="1004"/>
      <c r="AN95" s="1004"/>
      <c r="AO95" s="1004"/>
      <c r="AP95" s="1004"/>
      <c r="AQ95" s="1004"/>
      <c r="AR95" s="1004"/>
      <c r="AS95" s="1004"/>
    </row>
    <row r="96" spans="2:45" s="112" customFormat="1" x14ac:dyDescent="0.2">
      <c r="B96" s="953"/>
      <c r="C96" s="70"/>
      <c r="D96" s="955"/>
      <c r="E96" s="1320"/>
      <c r="F96" s="938" t="s">
        <v>504</v>
      </c>
      <c r="G96" s="996">
        <v>0</v>
      </c>
      <c r="H96" s="996">
        <f t="shared" si="29"/>
        <v>0</v>
      </c>
      <c r="I96" s="997">
        <f t="shared" si="29"/>
        <v>0</v>
      </c>
      <c r="J96" s="997">
        <f t="shared" si="29"/>
        <v>0</v>
      </c>
      <c r="K96" s="997">
        <f t="shared" si="29"/>
        <v>0</v>
      </c>
      <c r="L96" s="997">
        <f t="shared" si="30"/>
        <v>0</v>
      </c>
      <c r="M96" s="997">
        <f t="shared" si="30"/>
        <v>0</v>
      </c>
      <c r="N96" s="91"/>
      <c r="O96" s="67">
        <f>+G96*tab!D$20</f>
        <v>0</v>
      </c>
      <c r="P96" s="67">
        <f>+H96*tab!E$20</f>
        <v>0</v>
      </c>
      <c r="Q96" s="67">
        <f>+I96*tab!F$20</f>
        <v>0</v>
      </c>
      <c r="R96" s="67">
        <f>+J96*tab!G$20</f>
        <v>0</v>
      </c>
      <c r="S96" s="67">
        <f>+K96*tab!H$20</f>
        <v>0</v>
      </c>
      <c r="T96" s="67">
        <f>+L96*tab!I$20</f>
        <v>0</v>
      </c>
      <c r="U96" s="67">
        <f>+M96*tab!J$20</f>
        <v>0</v>
      </c>
      <c r="V96" s="91"/>
      <c r="W96" s="1274"/>
      <c r="X96" s="1201">
        <f>+G96*tab!D$21</f>
        <v>0</v>
      </c>
      <c r="Y96" s="1201">
        <f>+H96*tab!E$21</f>
        <v>0</v>
      </c>
      <c r="Z96" s="1201">
        <f>+I96*tab!F$21</f>
        <v>0</v>
      </c>
      <c r="AA96" s="1201">
        <f>+J96*tab!G$21</f>
        <v>0</v>
      </c>
      <c r="AB96" s="1201">
        <f>+K96*tab!H$21</f>
        <v>0</v>
      </c>
      <c r="AC96" s="1201">
        <f>+L96*tab!$D$21</f>
        <v>0</v>
      </c>
      <c r="AD96" s="1201">
        <f>+M96*tab!$D$21</f>
        <v>0</v>
      </c>
      <c r="AE96" s="91"/>
      <c r="AF96" s="1016"/>
      <c r="AG96" s="1004"/>
      <c r="AH96" s="1004"/>
      <c r="AI96" s="1004"/>
      <c r="AJ96" s="1004"/>
      <c r="AK96" s="1004"/>
      <c r="AL96" s="1004"/>
      <c r="AM96" s="1004"/>
      <c r="AN96" s="1004"/>
      <c r="AO96" s="1004"/>
      <c r="AP96" s="1004"/>
      <c r="AQ96" s="1004"/>
      <c r="AR96" s="1004"/>
      <c r="AS96" s="1004"/>
    </row>
    <row r="97" spans="2:45" s="112" customFormat="1" x14ac:dyDescent="0.2">
      <c r="B97" s="953"/>
      <c r="C97" s="70">
        <v>21</v>
      </c>
      <c r="D97" s="150" t="s">
        <v>641</v>
      </c>
      <c r="E97" s="831" t="s">
        <v>274</v>
      </c>
      <c r="F97" s="938" t="s">
        <v>503</v>
      </c>
      <c r="G97" s="996">
        <v>0</v>
      </c>
      <c r="H97" s="996">
        <f t="shared" si="29"/>
        <v>0</v>
      </c>
      <c r="I97" s="997">
        <f t="shared" si="29"/>
        <v>0</v>
      </c>
      <c r="J97" s="997">
        <f t="shared" si="29"/>
        <v>0</v>
      </c>
      <c r="K97" s="997">
        <f t="shared" si="29"/>
        <v>0</v>
      </c>
      <c r="L97" s="997">
        <f t="shared" si="30"/>
        <v>0</v>
      </c>
      <c r="M97" s="997">
        <f t="shared" si="30"/>
        <v>0</v>
      </c>
      <c r="N97" s="91"/>
      <c r="O97" s="67">
        <f>+G97*tab!D$20</f>
        <v>0</v>
      </c>
      <c r="P97" s="67">
        <f>+H97*tab!E$20</f>
        <v>0</v>
      </c>
      <c r="Q97" s="67">
        <f>+I97*tab!F$20</f>
        <v>0</v>
      </c>
      <c r="R97" s="67">
        <f>+J97*tab!G$20</f>
        <v>0</v>
      </c>
      <c r="S97" s="67">
        <f>+K97*tab!H$20</f>
        <v>0</v>
      </c>
      <c r="T97" s="67">
        <f>+L97*tab!I$20</f>
        <v>0</v>
      </c>
      <c r="U97" s="67">
        <f>+M97*tab!J$20</f>
        <v>0</v>
      </c>
      <c r="V97" s="91"/>
      <c r="W97" s="1274"/>
      <c r="X97" s="1201">
        <f>+G97*tab!D$21</f>
        <v>0</v>
      </c>
      <c r="Y97" s="1201">
        <f>+H97*tab!E$21</f>
        <v>0</v>
      </c>
      <c r="Z97" s="1201">
        <f>+I97*tab!F$21</f>
        <v>0</v>
      </c>
      <c r="AA97" s="1201">
        <f>+J97*tab!G$21</f>
        <v>0</v>
      </c>
      <c r="AB97" s="1201">
        <f>+K97*tab!H$21</f>
        <v>0</v>
      </c>
      <c r="AC97" s="1201">
        <f>+L97*tab!$D$21</f>
        <v>0</v>
      </c>
      <c r="AD97" s="1201">
        <f>+M97*tab!$D$21</f>
        <v>0</v>
      </c>
      <c r="AE97" s="91"/>
      <c r="AF97" s="1016"/>
      <c r="AG97" s="1004"/>
      <c r="AH97" s="1004"/>
      <c r="AI97" s="1004"/>
      <c r="AJ97" s="1004"/>
      <c r="AK97" s="1004"/>
      <c r="AL97" s="1004"/>
      <c r="AM97" s="1004"/>
      <c r="AN97" s="1004"/>
      <c r="AO97" s="1004"/>
      <c r="AP97" s="1004"/>
      <c r="AQ97" s="1004"/>
      <c r="AR97" s="1004"/>
      <c r="AS97" s="1004"/>
    </row>
    <row r="98" spans="2:45" s="112" customFormat="1" x14ac:dyDescent="0.2">
      <c r="B98" s="953"/>
      <c r="C98" s="70"/>
      <c r="D98" s="955"/>
      <c r="E98" s="1320"/>
      <c r="F98" s="938" t="s">
        <v>504</v>
      </c>
      <c r="G98" s="996">
        <v>0</v>
      </c>
      <c r="H98" s="996">
        <f t="shared" ref="H98:H116" si="31">G98</f>
        <v>0</v>
      </c>
      <c r="I98" s="997">
        <f t="shared" ref="I98:I116" si="32">H98</f>
        <v>0</v>
      </c>
      <c r="J98" s="997">
        <f t="shared" ref="J98:J116" si="33">I98</f>
        <v>0</v>
      </c>
      <c r="K98" s="997">
        <f t="shared" ref="K98:K116" si="34">J98</f>
        <v>0</v>
      </c>
      <c r="L98" s="997">
        <f t="shared" si="30"/>
        <v>0</v>
      </c>
      <c r="M98" s="997">
        <f t="shared" si="30"/>
        <v>0</v>
      </c>
      <c r="N98" s="91"/>
      <c r="O98" s="67">
        <f>+G98*tab!D$20</f>
        <v>0</v>
      </c>
      <c r="P98" s="67">
        <f>+H98*tab!E$20</f>
        <v>0</v>
      </c>
      <c r="Q98" s="67">
        <f>+I98*tab!F$20</f>
        <v>0</v>
      </c>
      <c r="R98" s="67">
        <f>+J98*tab!G$20</f>
        <v>0</v>
      </c>
      <c r="S98" s="67">
        <f>+K98*tab!H$20</f>
        <v>0</v>
      </c>
      <c r="T98" s="67">
        <f>+L98*tab!I$20</f>
        <v>0</v>
      </c>
      <c r="U98" s="67">
        <f>+M98*tab!J$20</f>
        <v>0</v>
      </c>
      <c r="V98" s="91"/>
      <c r="W98" s="1274"/>
      <c r="X98" s="1201">
        <f>+G98*tab!D$21</f>
        <v>0</v>
      </c>
      <c r="Y98" s="1201">
        <f>+H98*tab!E$21</f>
        <v>0</v>
      </c>
      <c r="Z98" s="1201">
        <f>+I98*tab!F$21</f>
        <v>0</v>
      </c>
      <c r="AA98" s="1201">
        <f>+J98*tab!G$21</f>
        <v>0</v>
      </c>
      <c r="AB98" s="1201">
        <f>+K98*tab!H$21</f>
        <v>0</v>
      </c>
      <c r="AC98" s="1201">
        <f>+L98*tab!$D$21</f>
        <v>0</v>
      </c>
      <c r="AD98" s="1201">
        <f>+M98*tab!$D$21</f>
        <v>0</v>
      </c>
      <c r="AE98" s="91"/>
      <c r="AF98" s="1016"/>
      <c r="AG98" s="1004"/>
      <c r="AH98" s="1004"/>
      <c r="AI98" s="1004"/>
      <c r="AJ98" s="1004"/>
      <c r="AK98" s="1004"/>
      <c r="AL98" s="1004"/>
      <c r="AM98" s="1004"/>
      <c r="AN98" s="1004"/>
      <c r="AO98" s="1004"/>
      <c r="AP98" s="1004"/>
      <c r="AQ98" s="1004"/>
      <c r="AR98" s="1004"/>
      <c r="AS98" s="1004"/>
    </row>
    <row r="99" spans="2:45" s="112" customFormat="1" x14ac:dyDescent="0.2">
      <c r="B99" s="953"/>
      <c r="C99" s="70">
        <v>22</v>
      </c>
      <c r="D99" s="150" t="s">
        <v>642</v>
      </c>
      <c r="E99" s="831" t="s">
        <v>274</v>
      </c>
      <c r="F99" s="938" t="s">
        <v>503</v>
      </c>
      <c r="G99" s="996">
        <v>0</v>
      </c>
      <c r="H99" s="996">
        <f t="shared" si="31"/>
        <v>0</v>
      </c>
      <c r="I99" s="997">
        <f t="shared" si="32"/>
        <v>0</v>
      </c>
      <c r="J99" s="997">
        <f t="shared" si="33"/>
        <v>0</v>
      </c>
      <c r="K99" s="997">
        <f t="shared" si="34"/>
        <v>0</v>
      </c>
      <c r="L99" s="997">
        <f t="shared" si="30"/>
        <v>0</v>
      </c>
      <c r="M99" s="997">
        <f t="shared" si="30"/>
        <v>0</v>
      </c>
      <c r="N99" s="91"/>
      <c r="O99" s="67">
        <f>+G99*tab!D$20</f>
        <v>0</v>
      </c>
      <c r="P99" s="67">
        <f>+H99*tab!E$20</f>
        <v>0</v>
      </c>
      <c r="Q99" s="67">
        <f>+I99*tab!F$20</f>
        <v>0</v>
      </c>
      <c r="R99" s="67">
        <f>+J99*tab!G$20</f>
        <v>0</v>
      </c>
      <c r="S99" s="67">
        <f>+K99*tab!H$20</f>
        <v>0</v>
      </c>
      <c r="T99" s="67">
        <f>+L99*tab!I$20</f>
        <v>0</v>
      </c>
      <c r="U99" s="67">
        <f>+M99*tab!J$20</f>
        <v>0</v>
      </c>
      <c r="V99" s="91"/>
      <c r="W99" s="1274"/>
      <c r="X99" s="1201">
        <f>+G99*tab!D$21</f>
        <v>0</v>
      </c>
      <c r="Y99" s="1201">
        <f>+H99*tab!E$21</f>
        <v>0</v>
      </c>
      <c r="Z99" s="1201">
        <f>+I99*tab!F$21</f>
        <v>0</v>
      </c>
      <c r="AA99" s="1201">
        <f>+J99*tab!G$21</f>
        <v>0</v>
      </c>
      <c r="AB99" s="1201">
        <f>+K99*tab!H$21</f>
        <v>0</v>
      </c>
      <c r="AC99" s="1201">
        <f>+L99*tab!$D$21</f>
        <v>0</v>
      </c>
      <c r="AD99" s="1201">
        <f>+M99*tab!$D$21</f>
        <v>0</v>
      </c>
      <c r="AE99" s="91"/>
      <c r="AF99" s="1016"/>
      <c r="AG99" s="1004"/>
      <c r="AH99" s="1004"/>
      <c r="AI99" s="1004"/>
      <c r="AJ99" s="1004"/>
      <c r="AK99" s="1004"/>
      <c r="AL99" s="1004"/>
      <c r="AM99" s="1004"/>
      <c r="AN99" s="1004"/>
      <c r="AO99" s="1004"/>
      <c r="AP99" s="1004"/>
      <c r="AQ99" s="1004"/>
      <c r="AR99" s="1004"/>
      <c r="AS99" s="1004"/>
    </row>
    <row r="100" spans="2:45" s="112" customFormat="1" x14ac:dyDescent="0.2">
      <c r="B100" s="953"/>
      <c r="C100" s="70"/>
      <c r="D100" s="955"/>
      <c r="E100" s="1320"/>
      <c r="F100" s="938" t="s">
        <v>504</v>
      </c>
      <c r="G100" s="996">
        <v>0</v>
      </c>
      <c r="H100" s="996">
        <f t="shared" si="31"/>
        <v>0</v>
      </c>
      <c r="I100" s="997">
        <f t="shared" si="32"/>
        <v>0</v>
      </c>
      <c r="J100" s="997">
        <f t="shared" si="33"/>
        <v>0</v>
      </c>
      <c r="K100" s="997">
        <f t="shared" si="34"/>
        <v>0</v>
      </c>
      <c r="L100" s="997">
        <f t="shared" si="30"/>
        <v>0</v>
      </c>
      <c r="M100" s="997">
        <f t="shared" si="30"/>
        <v>0</v>
      </c>
      <c r="N100" s="91"/>
      <c r="O100" s="67">
        <f>+G100*tab!D$20</f>
        <v>0</v>
      </c>
      <c r="P100" s="67">
        <f>+H100*tab!E$20</f>
        <v>0</v>
      </c>
      <c r="Q100" s="67">
        <f>+I100*tab!F$20</f>
        <v>0</v>
      </c>
      <c r="R100" s="67">
        <f>+J100*tab!G$20</f>
        <v>0</v>
      </c>
      <c r="S100" s="67">
        <f>+K100*tab!H$20</f>
        <v>0</v>
      </c>
      <c r="T100" s="67">
        <f>+L100*tab!I$20</f>
        <v>0</v>
      </c>
      <c r="U100" s="67">
        <f>+M100*tab!J$20</f>
        <v>0</v>
      </c>
      <c r="V100" s="91"/>
      <c r="W100" s="1274"/>
      <c r="X100" s="1201">
        <f>+G100*tab!D$21</f>
        <v>0</v>
      </c>
      <c r="Y100" s="1201">
        <f>+H100*tab!E$21</f>
        <v>0</v>
      </c>
      <c r="Z100" s="1201">
        <f>+I100*tab!F$21</f>
        <v>0</v>
      </c>
      <c r="AA100" s="1201">
        <f>+J100*tab!G$21</f>
        <v>0</v>
      </c>
      <c r="AB100" s="1201">
        <f>+K100*tab!H$21</f>
        <v>0</v>
      </c>
      <c r="AC100" s="1201">
        <f>+L100*tab!$D$21</f>
        <v>0</v>
      </c>
      <c r="AD100" s="1201">
        <f>+M100*tab!$D$21</f>
        <v>0</v>
      </c>
      <c r="AE100" s="91"/>
      <c r="AF100" s="1016"/>
      <c r="AG100" s="1004"/>
      <c r="AH100" s="1004"/>
      <c r="AI100" s="1004"/>
      <c r="AJ100" s="1004"/>
      <c r="AK100" s="1004"/>
      <c r="AL100" s="1004"/>
      <c r="AM100" s="1004"/>
      <c r="AN100" s="1004"/>
      <c r="AO100" s="1004"/>
      <c r="AP100" s="1004"/>
      <c r="AQ100" s="1004"/>
      <c r="AR100" s="1004"/>
      <c r="AS100" s="1004"/>
    </row>
    <row r="101" spans="2:45" s="112" customFormat="1" x14ac:dyDescent="0.2">
      <c r="B101" s="953"/>
      <c r="C101" s="70">
        <v>23</v>
      </c>
      <c r="D101" s="150" t="s">
        <v>643</v>
      </c>
      <c r="E101" s="831" t="s">
        <v>274</v>
      </c>
      <c r="F101" s="938" t="s">
        <v>503</v>
      </c>
      <c r="G101" s="996">
        <v>0</v>
      </c>
      <c r="H101" s="996">
        <f t="shared" si="31"/>
        <v>0</v>
      </c>
      <c r="I101" s="997">
        <f t="shared" si="32"/>
        <v>0</v>
      </c>
      <c r="J101" s="997">
        <f t="shared" si="33"/>
        <v>0</v>
      </c>
      <c r="K101" s="997">
        <f t="shared" si="34"/>
        <v>0</v>
      </c>
      <c r="L101" s="997">
        <f t="shared" si="30"/>
        <v>0</v>
      </c>
      <c r="M101" s="997">
        <f t="shared" si="30"/>
        <v>0</v>
      </c>
      <c r="N101" s="91"/>
      <c r="O101" s="67">
        <f>+G101*tab!D$20</f>
        <v>0</v>
      </c>
      <c r="P101" s="67">
        <f>+H101*tab!E$20</f>
        <v>0</v>
      </c>
      <c r="Q101" s="67">
        <f>+I101*tab!F$20</f>
        <v>0</v>
      </c>
      <c r="R101" s="67">
        <f>+J101*tab!G$20</f>
        <v>0</v>
      </c>
      <c r="S101" s="67">
        <f>+K101*tab!H$20</f>
        <v>0</v>
      </c>
      <c r="T101" s="67">
        <f>+L101*tab!I$20</f>
        <v>0</v>
      </c>
      <c r="U101" s="67">
        <f>+M101*tab!J$20</f>
        <v>0</v>
      </c>
      <c r="V101" s="91"/>
      <c r="W101" s="1274"/>
      <c r="X101" s="1201">
        <f>+G101*tab!D$21</f>
        <v>0</v>
      </c>
      <c r="Y101" s="1201">
        <f>+H101*tab!E$21</f>
        <v>0</v>
      </c>
      <c r="Z101" s="1201">
        <f>+I101*tab!F$21</f>
        <v>0</v>
      </c>
      <c r="AA101" s="1201">
        <f>+J101*tab!G$21</f>
        <v>0</v>
      </c>
      <c r="AB101" s="1201">
        <f>+K101*tab!H$21</f>
        <v>0</v>
      </c>
      <c r="AC101" s="1201">
        <f>+L101*tab!$D$21</f>
        <v>0</v>
      </c>
      <c r="AD101" s="1201">
        <f>+M101*tab!$D$21</f>
        <v>0</v>
      </c>
      <c r="AE101" s="91"/>
      <c r="AF101" s="1016"/>
      <c r="AG101" s="1004"/>
      <c r="AH101" s="1004"/>
      <c r="AI101" s="1004"/>
      <c r="AJ101" s="1004"/>
      <c r="AK101" s="1004"/>
      <c r="AL101" s="1004"/>
      <c r="AM101" s="1004"/>
      <c r="AN101" s="1004"/>
      <c r="AO101" s="1004"/>
      <c r="AP101" s="1004"/>
      <c r="AQ101" s="1004"/>
      <c r="AR101" s="1004"/>
      <c r="AS101" s="1004"/>
    </row>
    <row r="102" spans="2:45" s="112" customFormat="1" x14ac:dyDescent="0.2">
      <c r="B102" s="953"/>
      <c r="C102" s="70"/>
      <c r="D102" s="955"/>
      <c r="E102" s="1320"/>
      <c r="F102" s="938" t="s">
        <v>504</v>
      </c>
      <c r="G102" s="996">
        <v>0</v>
      </c>
      <c r="H102" s="996">
        <f t="shared" si="31"/>
        <v>0</v>
      </c>
      <c r="I102" s="997">
        <f t="shared" si="32"/>
        <v>0</v>
      </c>
      <c r="J102" s="997">
        <f t="shared" si="33"/>
        <v>0</v>
      </c>
      <c r="K102" s="997">
        <f t="shared" si="34"/>
        <v>0</v>
      </c>
      <c r="L102" s="997">
        <f t="shared" si="30"/>
        <v>0</v>
      </c>
      <c r="M102" s="997">
        <f t="shared" si="30"/>
        <v>0</v>
      </c>
      <c r="N102" s="91"/>
      <c r="O102" s="67">
        <f>+G102*tab!D$20</f>
        <v>0</v>
      </c>
      <c r="P102" s="67">
        <f>+H102*tab!E$20</f>
        <v>0</v>
      </c>
      <c r="Q102" s="67">
        <f>+I102*tab!F$20</f>
        <v>0</v>
      </c>
      <c r="R102" s="67">
        <f>+J102*tab!G$20</f>
        <v>0</v>
      </c>
      <c r="S102" s="67">
        <f>+K102*tab!H$20</f>
        <v>0</v>
      </c>
      <c r="T102" s="67">
        <f>+L102*tab!I$20</f>
        <v>0</v>
      </c>
      <c r="U102" s="67">
        <f>+M102*tab!J$20</f>
        <v>0</v>
      </c>
      <c r="V102" s="91"/>
      <c r="W102" s="1274"/>
      <c r="X102" s="1201">
        <f>+G102*tab!D$21</f>
        <v>0</v>
      </c>
      <c r="Y102" s="1201">
        <f>+H102*tab!E$21</f>
        <v>0</v>
      </c>
      <c r="Z102" s="1201">
        <f>+I102*tab!F$21</f>
        <v>0</v>
      </c>
      <c r="AA102" s="1201">
        <f>+J102*tab!G$21</f>
        <v>0</v>
      </c>
      <c r="AB102" s="1201">
        <f>+K102*tab!H$21</f>
        <v>0</v>
      </c>
      <c r="AC102" s="1201">
        <f>+L102*tab!$D$21</f>
        <v>0</v>
      </c>
      <c r="AD102" s="1201">
        <f>+M102*tab!$D$21</f>
        <v>0</v>
      </c>
      <c r="AE102" s="91"/>
      <c r="AF102" s="1016"/>
      <c r="AG102" s="1004"/>
      <c r="AH102" s="1004"/>
      <c r="AI102" s="1004"/>
      <c r="AJ102" s="1004"/>
      <c r="AK102" s="1004"/>
      <c r="AL102" s="1004"/>
      <c r="AM102" s="1004"/>
      <c r="AN102" s="1004"/>
      <c r="AO102" s="1004"/>
      <c r="AP102" s="1004"/>
      <c r="AQ102" s="1004"/>
      <c r="AR102" s="1004"/>
      <c r="AS102" s="1004"/>
    </row>
    <row r="103" spans="2:45" s="112" customFormat="1" x14ac:dyDescent="0.2">
      <c r="B103" s="953"/>
      <c r="C103" s="70">
        <v>24</v>
      </c>
      <c r="D103" s="150" t="s">
        <v>448</v>
      </c>
      <c r="E103" s="831" t="s">
        <v>274</v>
      </c>
      <c r="F103" s="938" t="s">
        <v>503</v>
      </c>
      <c r="G103" s="996">
        <v>0</v>
      </c>
      <c r="H103" s="996">
        <f t="shared" si="31"/>
        <v>0</v>
      </c>
      <c r="I103" s="997">
        <f t="shared" si="32"/>
        <v>0</v>
      </c>
      <c r="J103" s="997">
        <f t="shared" si="33"/>
        <v>0</v>
      </c>
      <c r="K103" s="997">
        <f t="shared" si="34"/>
        <v>0</v>
      </c>
      <c r="L103" s="997">
        <f t="shared" si="30"/>
        <v>0</v>
      </c>
      <c r="M103" s="997">
        <f t="shared" si="30"/>
        <v>0</v>
      </c>
      <c r="N103" s="91"/>
      <c r="O103" s="67">
        <f>+G103*tab!D$20</f>
        <v>0</v>
      </c>
      <c r="P103" s="67">
        <f>+H103*tab!E$20</f>
        <v>0</v>
      </c>
      <c r="Q103" s="67">
        <f>+I103*tab!F$20</f>
        <v>0</v>
      </c>
      <c r="R103" s="67">
        <f>+J103*tab!G$20</f>
        <v>0</v>
      </c>
      <c r="S103" s="67">
        <f>+K103*tab!H$20</f>
        <v>0</v>
      </c>
      <c r="T103" s="67">
        <f>+L103*tab!I$20</f>
        <v>0</v>
      </c>
      <c r="U103" s="67">
        <f>+M103*tab!J$20</f>
        <v>0</v>
      </c>
      <c r="V103" s="91"/>
      <c r="W103" s="1274"/>
      <c r="X103" s="1201">
        <f>+G103*tab!D$21</f>
        <v>0</v>
      </c>
      <c r="Y103" s="1201">
        <f>+H103*tab!E$21</f>
        <v>0</v>
      </c>
      <c r="Z103" s="1201">
        <f>+I103*tab!F$21</f>
        <v>0</v>
      </c>
      <c r="AA103" s="1201">
        <f>+J103*tab!G$21</f>
        <v>0</v>
      </c>
      <c r="AB103" s="1201">
        <f>+K103*tab!H$21</f>
        <v>0</v>
      </c>
      <c r="AC103" s="1201">
        <f>+L103*tab!$D$21</f>
        <v>0</v>
      </c>
      <c r="AD103" s="1201">
        <f>+M103*tab!$D$21</f>
        <v>0</v>
      </c>
      <c r="AE103" s="91"/>
      <c r="AF103" s="1016"/>
      <c r="AG103" s="1004"/>
      <c r="AH103" s="1004"/>
      <c r="AI103" s="1004"/>
      <c r="AJ103" s="1004"/>
      <c r="AK103" s="1004"/>
      <c r="AL103" s="1004"/>
      <c r="AM103" s="1004"/>
      <c r="AN103" s="1004"/>
      <c r="AO103" s="1004"/>
      <c r="AP103" s="1004"/>
      <c r="AQ103" s="1004"/>
      <c r="AR103" s="1004"/>
      <c r="AS103" s="1004"/>
    </row>
    <row r="104" spans="2:45" s="112" customFormat="1" x14ac:dyDescent="0.2">
      <c r="B104" s="953"/>
      <c r="C104" s="70"/>
      <c r="D104" s="955"/>
      <c r="E104" s="1320"/>
      <c r="F104" s="938" t="s">
        <v>504</v>
      </c>
      <c r="G104" s="996">
        <v>0</v>
      </c>
      <c r="H104" s="996">
        <f t="shared" si="31"/>
        <v>0</v>
      </c>
      <c r="I104" s="997">
        <f t="shared" si="32"/>
        <v>0</v>
      </c>
      <c r="J104" s="997">
        <f t="shared" si="33"/>
        <v>0</v>
      </c>
      <c r="K104" s="997">
        <f t="shared" si="34"/>
        <v>0</v>
      </c>
      <c r="L104" s="997">
        <f t="shared" si="30"/>
        <v>0</v>
      </c>
      <c r="M104" s="997">
        <f t="shared" si="30"/>
        <v>0</v>
      </c>
      <c r="N104" s="91"/>
      <c r="O104" s="67">
        <f>+G104*tab!D$20</f>
        <v>0</v>
      </c>
      <c r="P104" s="67">
        <f>+H104*tab!E$20</f>
        <v>0</v>
      </c>
      <c r="Q104" s="67">
        <f>+I104*tab!F$20</f>
        <v>0</v>
      </c>
      <c r="R104" s="67">
        <f>+J104*tab!G$20</f>
        <v>0</v>
      </c>
      <c r="S104" s="67">
        <f>+K104*tab!H$20</f>
        <v>0</v>
      </c>
      <c r="T104" s="67">
        <f>+L104*tab!I$20</f>
        <v>0</v>
      </c>
      <c r="U104" s="67">
        <f>+M104*tab!J$20</f>
        <v>0</v>
      </c>
      <c r="V104" s="91"/>
      <c r="W104" s="1274"/>
      <c r="X104" s="1201">
        <f>+G104*tab!D$21</f>
        <v>0</v>
      </c>
      <c r="Y104" s="1201">
        <f>+H104*tab!E$21</f>
        <v>0</v>
      </c>
      <c r="Z104" s="1201">
        <f>+I104*tab!F$21</f>
        <v>0</v>
      </c>
      <c r="AA104" s="1201">
        <f>+J104*tab!G$21</f>
        <v>0</v>
      </c>
      <c r="AB104" s="1201">
        <f>+K104*tab!H$21</f>
        <v>0</v>
      </c>
      <c r="AC104" s="1201">
        <f>+L104*tab!$D$21</f>
        <v>0</v>
      </c>
      <c r="AD104" s="1201">
        <f>+M104*tab!$D$21</f>
        <v>0</v>
      </c>
      <c r="AE104" s="91"/>
      <c r="AF104" s="1016"/>
      <c r="AG104" s="1004"/>
      <c r="AH104" s="1004"/>
      <c r="AI104" s="1004"/>
      <c r="AJ104" s="1004"/>
      <c r="AK104" s="1004"/>
      <c r="AL104" s="1004"/>
      <c r="AM104" s="1004"/>
      <c r="AN104" s="1004"/>
      <c r="AO104" s="1004"/>
      <c r="AP104" s="1004"/>
      <c r="AQ104" s="1004"/>
      <c r="AR104" s="1004"/>
      <c r="AS104" s="1004"/>
    </row>
    <row r="105" spans="2:45" s="112" customFormat="1" x14ac:dyDescent="0.2">
      <c r="B105" s="953"/>
      <c r="C105" s="70">
        <v>25</v>
      </c>
      <c r="D105" s="150" t="s">
        <v>449</v>
      </c>
      <c r="E105" s="831" t="s">
        <v>274</v>
      </c>
      <c r="F105" s="938" t="s">
        <v>503</v>
      </c>
      <c r="G105" s="996">
        <v>0</v>
      </c>
      <c r="H105" s="996">
        <f t="shared" si="31"/>
        <v>0</v>
      </c>
      <c r="I105" s="997">
        <f t="shared" si="32"/>
        <v>0</v>
      </c>
      <c r="J105" s="997">
        <f t="shared" si="33"/>
        <v>0</v>
      </c>
      <c r="K105" s="997">
        <f t="shared" si="34"/>
        <v>0</v>
      </c>
      <c r="L105" s="997">
        <f t="shared" si="30"/>
        <v>0</v>
      </c>
      <c r="M105" s="997">
        <f t="shared" si="30"/>
        <v>0</v>
      </c>
      <c r="N105" s="91"/>
      <c r="O105" s="67">
        <f>+G105*tab!D$20</f>
        <v>0</v>
      </c>
      <c r="P105" s="67">
        <f>+H105*tab!E$20</f>
        <v>0</v>
      </c>
      <c r="Q105" s="67">
        <f>+I105*tab!F$20</f>
        <v>0</v>
      </c>
      <c r="R105" s="67">
        <f>+J105*tab!G$20</f>
        <v>0</v>
      </c>
      <c r="S105" s="67">
        <f>+K105*tab!H$20</f>
        <v>0</v>
      </c>
      <c r="T105" s="67">
        <f>+L105*tab!I$20</f>
        <v>0</v>
      </c>
      <c r="U105" s="67">
        <f>+M105*tab!J$20</f>
        <v>0</v>
      </c>
      <c r="V105" s="91"/>
      <c r="W105" s="1274"/>
      <c r="X105" s="1201">
        <f>+G105*tab!D$21</f>
        <v>0</v>
      </c>
      <c r="Y105" s="1201">
        <f>+H105*tab!E$21</f>
        <v>0</v>
      </c>
      <c r="Z105" s="1201">
        <f>+I105*tab!F$21</f>
        <v>0</v>
      </c>
      <c r="AA105" s="1201">
        <f>+J105*tab!G$21</f>
        <v>0</v>
      </c>
      <c r="AB105" s="1201">
        <f>+K105*tab!H$21</f>
        <v>0</v>
      </c>
      <c r="AC105" s="1201">
        <f>+L105*tab!$D$21</f>
        <v>0</v>
      </c>
      <c r="AD105" s="1201">
        <f>+M105*tab!$D$21</f>
        <v>0</v>
      </c>
      <c r="AE105" s="91"/>
      <c r="AF105" s="1016"/>
      <c r="AG105" s="1004"/>
      <c r="AH105" s="1004"/>
      <c r="AI105" s="1004"/>
      <c r="AJ105" s="1004"/>
      <c r="AK105" s="1004"/>
      <c r="AL105" s="1004"/>
      <c r="AM105" s="1004"/>
      <c r="AN105" s="1004"/>
      <c r="AO105" s="1004"/>
      <c r="AP105" s="1004"/>
      <c r="AQ105" s="1004"/>
      <c r="AR105" s="1004"/>
      <c r="AS105" s="1004"/>
    </row>
    <row r="106" spans="2:45" s="112" customFormat="1" x14ac:dyDescent="0.2">
      <c r="B106" s="953"/>
      <c r="C106" s="70"/>
      <c r="D106" s="955"/>
      <c r="E106" s="1320"/>
      <c r="F106" s="938" t="s">
        <v>504</v>
      </c>
      <c r="G106" s="996">
        <v>0</v>
      </c>
      <c r="H106" s="996">
        <f t="shared" si="31"/>
        <v>0</v>
      </c>
      <c r="I106" s="997">
        <f t="shared" si="32"/>
        <v>0</v>
      </c>
      <c r="J106" s="997">
        <f t="shared" si="33"/>
        <v>0</v>
      </c>
      <c r="K106" s="997">
        <f t="shared" si="34"/>
        <v>0</v>
      </c>
      <c r="L106" s="997">
        <f t="shared" si="30"/>
        <v>0</v>
      </c>
      <c r="M106" s="997">
        <f t="shared" si="30"/>
        <v>0</v>
      </c>
      <c r="N106" s="91"/>
      <c r="O106" s="67">
        <f>+G106*tab!D$20</f>
        <v>0</v>
      </c>
      <c r="P106" s="67">
        <f>+H106*tab!E$20</f>
        <v>0</v>
      </c>
      <c r="Q106" s="67">
        <f>+I106*tab!F$20</f>
        <v>0</v>
      </c>
      <c r="R106" s="67">
        <f>+J106*tab!G$20</f>
        <v>0</v>
      </c>
      <c r="S106" s="67">
        <f>+K106*tab!H$20</f>
        <v>0</v>
      </c>
      <c r="T106" s="67">
        <f>+L106*tab!I$20</f>
        <v>0</v>
      </c>
      <c r="U106" s="67">
        <f>+M106*tab!J$20</f>
        <v>0</v>
      </c>
      <c r="V106" s="91"/>
      <c r="W106" s="1274"/>
      <c r="X106" s="1201">
        <f>+G106*tab!D$21</f>
        <v>0</v>
      </c>
      <c r="Y106" s="1201">
        <f>+H106*tab!E$21</f>
        <v>0</v>
      </c>
      <c r="Z106" s="1201">
        <f>+I106*tab!F$21</f>
        <v>0</v>
      </c>
      <c r="AA106" s="1201">
        <f>+J106*tab!G$21</f>
        <v>0</v>
      </c>
      <c r="AB106" s="1201">
        <f>+K106*tab!H$21</f>
        <v>0</v>
      </c>
      <c r="AC106" s="1201">
        <f>+L106*tab!$D$21</f>
        <v>0</v>
      </c>
      <c r="AD106" s="1201">
        <f>+M106*tab!$D$21</f>
        <v>0</v>
      </c>
      <c r="AE106" s="91"/>
      <c r="AF106" s="1016"/>
      <c r="AG106" s="1004"/>
      <c r="AH106" s="1004"/>
      <c r="AI106" s="1004"/>
      <c r="AJ106" s="1004"/>
      <c r="AK106" s="1004"/>
      <c r="AL106" s="1004"/>
      <c r="AM106" s="1004"/>
      <c r="AN106" s="1004"/>
      <c r="AO106" s="1004"/>
      <c r="AP106" s="1004"/>
      <c r="AQ106" s="1004"/>
      <c r="AR106" s="1004"/>
      <c r="AS106" s="1004"/>
    </row>
    <row r="107" spans="2:45" s="112" customFormat="1" x14ac:dyDescent="0.2">
      <c r="B107" s="953"/>
      <c r="C107" s="70">
        <v>26</v>
      </c>
      <c r="D107" s="150" t="s">
        <v>450</v>
      </c>
      <c r="E107" s="831" t="s">
        <v>274</v>
      </c>
      <c r="F107" s="938" t="s">
        <v>503</v>
      </c>
      <c r="G107" s="996">
        <v>0</v>
      </c>
      <c r="H107" s="996">
        <f t="shared" si="31"/>
        <v>0</v>
      </c>
      <c r="I107" s="997">
        <f t="shared" si="32"/>
        <v>0</v>
      </c>
      <c r="J107" s="997">
        <f t="shared" si="33"/>
        <v>0</v>
      </c>
      <c r="K107" s="997">
        <f t="shared" si="34"/>
        <v>0</v>
      </c>
      <c r="L107" s="997">
        <f t="shared" si="30"/>
        <v>0</v>
      </c>
      <c r="M107" s="997">
        <f t="shared" si="30"/>
        <v>0</v>
      </c>
      <c r="N107" s="91"/>
      <c r="O107" s="67">
        <f>+G107*tab!D$20</f>
        <v>0</v>
      </c>
      <c r="P107" s="67">
        <f>+H107*tab!E$20</f>
        <v>0</v>
      </c>
      <c r="Q107" s="67">
        <f>+I107*tab!F$20</f>
        <v>0</v>
      </c>
      <c r="R107" s="67">
        <f>+J107*tab!G$20</f>
        <v>0</v>
      </c>
      <c r="S107" s="67">
        <f>+K107*tab!H$20</f>
        <v>0</v>
      </c>
      <c r="T107" s="67">
        <f>+L107*tab!I$20</f>
        <v>0</v>
      </c>
      <c r="U107" s="67">
        <f>+M107*tab!J$20</f>
        <v>0</v>
      </c>
      <c r="V107" s="91"/>
      <c r="W107" s="1274"/>
      <c r="X107" s="1201">
        <f>+G107*tab!D$21</f>
        <v>0</v>
      </c>
      <c r="Y107" s="1201">
        <f>+H107*tab!E$21</f>
        <v>0</v>
      </c>
      <c r="Z107" s="1201">
        <f>+I107*tab!F$21</f>
        <v>0</v>
      </c>
      <c r="AA107" s="1201">
        <f>+J107*tab!G$21</f>
        <v>0</v>
      </c>
      <c r="AB107" s="1201">
        <f>+K107*tab!H$21</f>
        <v>0</v>
      </c>
      <c r="AC107" s="1201">
        <f>+L107*tab!$D$21</f>
        <v>0</v>
      </c>
      <c r="AD107" s="1201">
        <f>+M107*tab!$D$21</f>
        <v>0</v>
      </c>
      <c r="AE107" s="91"/>
      <c r="AF107" s="1016"/>
      <c r="AG107" s="1004"/>
      <c r="AH107" s="1004"/>
      <c r="AI107" s="1004"/>
      <c r="AJ107" s="1004"/>
      <c r="AK107" s="1004"/>
      <c r="AL107" s="1004"/>
      <c r="AM107" s="1004"/>
      <c r="AN107" s="1004"/>
      <c r="AO107" s="1004"/>
      <c r="AP107" s="1004"/>
      <c r="AQ107" s="1004"/>
      <c r="AR107" s="1004"/>
      <c r="AS107" s="1004"/>
    </row>
    <row r="108" spans="2:45" s="112" customFormat="1" x14ac:dyDescent="0.2">
      <c r="B108" s="953"/>
      <c r="C108" s="70"/>
      <c r="D108" s="955"/>
      <c r="E108" s="1320"/>
      <c r="F108" s="938" t="s">
        <v>504</v>
      </c>
      <c r="G108" s="996">
        <v>0</v>
      </c>
      <c r="H108" s="996">
        <f t="shared" si="31"/>
        <v>0</v>
      </c>
      <c r="I108" s="997">
        <f t="shared" si="32"/>
        <v>0</v>
      </c>
      <c r="J108" s="997">
        <f t="shared" si="33"/>
        <v>0</v>
      </c>
      <c r="K108" s="997">
        <f t="shared" si="34"/>
        <v>0</v>
      </c>
      <c r="L108" s="997">
        <f t="shared" si="30"/>
        <v>0</v>
      </c>
      <c r="M108" s="997">
        <f t="shared" si="30"/>
        <v>0</v>
      </c>
      <c r="N108" s="91"/>
      <c r="O108" s="67">
        <f>+G108*tab!D$20</f>
        <v>0</v>
      </c>
      <c r="P108" s="67">
        <f>+H108*tab!E$20</f>
        <v>0</v>
      </c>
      <c r="Q108" s="67">
        <f>+I108*tab!F$20</f>
        <v>0</v>
      </c>
      <c r="R108" s="67">
        <f>+J108*tab!G$20</f>
        <v>0</v>
      </c>
      <c r="S108" s="67">
        <f>+K108*tab!H$20</f>
        <v>0</v>
      </c>
      <c r="T108" s="67">
        <f>+L108*tab!I$20</f>
        <v>0</v>
      </c>
      <c r="U108" s="67">
        <f>+M108*tab!J$20</f>
        <v>0</v>
      </c>
      <c r="V108" s="91"/>
      <c r="W108" s="1274"/>
      <c r="X108" s="1201">
        <f>+G108*tab!D$21</f>
        <v>0</v>
      </c>
      <c r="Y108" s="1201">
        <f>+H108*tab!E$21</f>
        <v>0</v>
      </c>
      <c r="Z108" s="1201">
        <f>+I108*tab!F$21</f>
        <v>0</v>
      </c>
      <c r="AA108" s="1201">
        <f>+J108*tab!G$21</f>
        <v>0</v>
      </c>
      <c r="AB108" s="1201">
        <f>+K108*tab!H$21</f>
        <v>0</v>
      </c>
      <c r="AC108" s="1201">
        <f>+L108*tab!$D$21</f>
        <v>0</v>
      </c>
      <c r="AD108" s="1201">
        <f>+M108*tab!$D$21</f>
        <v>0</v>
      </c>
      <c r="AE108" s="91"/>
      <c r="AF108" s="1016"/>
      <c r="AG108" s="1004"/>
      <c r="AH108" s="1004"/>
      <c r="AI108" s="1004"/>
      <c r="AJ108" s="1004"/>
      <c r="AK108" s="1004"/>
      <c r="AL108" s="1004"/>
      <c r="AM108" s="1004"/>
      <c r="AN108" s="1004"/>
      <c r="AO108" s="1004"/>
      <c r="AP108" s="1004"/>
      <c r="AQ108" s="1004"/>
      <c r="AR108" s="1004"/>
      <c r="AS108" s="1004"/>
    </row>
    <row r="109" spans="2:45" s="112" customFormat="1" x14ac:dyDescent="0.2">
      <c r="B109" s="953"/>
      <c r="C109" s="70">
        <v>27</v>
      </c>
      <c r="D109" s="150" t="s">
        <v>381</v>
      </c>
      <c r="E109" s="831" t="s">
        <v>274</v>
      </c>
      <c r="F109" s="938" t="s">
        <v>503</v>
      </c>
      <c r="G109" s="996">
        <v>0</v>
      </c>
      <c r="H109" s="996">
        <f t="shared" si="31"/>
        <v>0</v>
      </c>
      <c r="I109" s="997">
        <f t="shared" si="32"/>
        <v>0</v>
      </c>
      <c r="J109" s="997">
        <f t="shared" si="33"/>
        <v>0</v>
      </c>
      <c r="K109" s="997">
        <f t="shared" si="34"/>
        <v>0</v>
      </c>
      <c r="L109" s="997">
        <f t="shared" si="30"/>
        <v>0</v>
      </c>
      <c r="M109" s="997">
        <f t="shared" si="30"/>
        <v>0</v>
      </c>
      <c r="N109" s="91"/>
      <c r="O109" s="67">
        <f>+G109*tab!D$20</f>
        <v>0</v>
      </c>
      <c r="P109" s="67">
        <f>+H109*tab!E$20</f>
        <v>0</v>
      </c>
      <c r="Q109" s="67">
        <f>+I109*tab!F$20</f>
        <v>0</v>
      </c>
      <c r="R109" s="67">
        <f>+J109*tab!G$20</f>
        <v>0</v>
      </c>
      <c r="S109" s="67">
        <f>+K109*tab!H$20</f>
        <v>0</v>
      </c>
      <c r="T109" s="67">
        <f>+L109*tab!I$20</f>
        <v>0</v>
      </c>
      <c r="U109" s="67">
        <f>+M109*tab!J$20</f>
        <v>0</v>
      </c>
      <c r="V109" s="91"/>
      <c r="W109" s="1274"/>
      <c r="X109" s="1201">
        <f>+G109*tab!D$21</f>
        <v>0</v>
      </c>
      <c r="Y109" s="1201">
        <f>+H109*tab!E$21</f>
        <v>0</v>
      </c>
      <c r="Z109" s="1201">
        <f>+I109*tab!F$21</f>
        <v>0</v>
      </c>
      <c r="AA109" s="1201">
        <f>+J109*tab!G$21</f>
        <v>0</v>
      </c>
      <c r="AB109" s="1201">
        <f>+K109*tab!H$21</f>
        <v>0</v>
      </c>
      <c r="AC109" s="1201">
        <f>+L109*tab!$D$21</f>
        <v>0</v>
      </c>
      <c r="AD109" s="1201">
        <f>+M109*tab!$D$21</f>
        <v>0</v>
      </c>
      <c r="AE109" s="91"/>
      <c r="AF109" s="1016"/>
      <c r="AG109" s="1004"/>
      <c r="AH109" s="1004"/>
      <c r="AI109" s="1004"/>
      <c r="AJ109" s="1004"/>
      <c r="AK109" s="1004"/>
      <c r="AL109" s="1004"/>
      <c r="AM109" s="1004"/>
      <c r="AN109" s="1004"/>
      <c r="AO109" s="1004"/>
      <c r="AP109" s="1004"/>
      <c r="AQ109" s="1004"/>
      <c r="AR109" s="1004"/>
      <c r="AS109" s="1004"/>
    </row>
    <row r="110" spans="2:45" s="112" customFormat="1" x14ac:dyDescent="0.2">
      <c r="B110" s="953"/>
      <c r="C110" s="70"/>
      <c r="D110" s="955"/>
      <c r="E110" s="1320"/>
      <c r="F110" s="938" t="s">
        <v>504</v>
      </c>
      <c r="G110" s="996">
        <v>0</v>
      </c>
      <c r="H110" s="996">
        <f t="shared" si="31"/>
        <v>0</v>
      </c>
      <c r="I110" s="997">
        <f t="shared" si="32"/>
        <v>0</v>
      </c>
      <c r="J110" s="997">
        <f t="shared" si="33"/>
        <v>0</v>
      </c>
      <c r="K110" s="997">
        <f t="shared" si="34"/>
        <v>0</v>
      </c>
      <c r="L110" s="997">
        <f t="shared" si="30"/>
        <v>0</v>
      </c>
      <c r="M110" s="997">
        <f t="shared" si="30"/>
        <v>0</v>
      </c>
      <c r="N110" s="91"/>
      <c r="O110" s="67">
        <f>+G110*tab!D$20</f>
        <v>0</v>
      </c>
      <c r="P110" s="67">
        <f>+H110*tab!E$20</f>
        <v>0</v>
      </c>
      <c r="Q110" s="67">
        <f>+I110*tab!F$20</f>
        <v>0</v>
      </c>
      <c r="R110" s="67">
        <f>+J110*tab!G$20</f>
        <v>0</v>
      </c>
      <c r="S110" s="67">
        <f>+K110*tab!H$20</f>
        <v>0</v>
      </c>
      <c r="T110" s="67">
        <f>+L110*tab!I$20</f>
        <v>0</v>
      </c>
      <c r="U110" s="67">
        <f>+M110*tab!J$20</f>
        <v>0</v>
      </c>
      <c r="V110" s="91"/>
      <c r="W110" s="1274"/>
      <c r="X110" s="1201">
        <f>+G110*tab!D$21</f>
        <v>0</v>
      </c>
      <c r="Y110" s="1201">
        <f>+H110*tab!E$21</f>
        <v>0</v>
      </c>
      <c r="Z110" s="1201">
        <f>+I110*tab!F$21</f>
        <v>0</v>
      </c>
      <c r="AA110" s="1201">
        <f>+J110*tab!G$21</f>
        <v>0</v>
      </c>
      <c r="AB110" s="1201">
        <f>+K110*tab!H$21</f>
        <v>0</v>
      </c>
      <c r="AC110" s="1201">
        <f>+L110*tab!$D$21</f>
        <v>0</v>
      </c>
      <c r="AD110" s="1201">
        <f>+M110*tab!$D$21</f>
        <v>0</v>
      </c>
      <c r="AE110" s="91"/>
      <c r="AF110" s="1016"/>
      <c r="AG110" s="1004"/>
      <c r="AH110" s="1004"/>
      <c r="AI110" s="1004"/>
      <c r="AJ110" s="1004"/>
      <c r="AK110" s="1004"/>
      <c r="AL110" s="1004"/>
      <c r="AM110" s="1004"/>
      <c r="AN110" s="1004"/>
      <c r="AO110" s="1004"/>
      <c r="AP110" s="1004"/>
      <c r="AQ110" s="1004"/>
      <c r="AR110" s="1004"/>
      <c r="AS110" s="1004"/>
    </row>
    <row r="111" spans="2:45" s="112" customFormat="1" x14ac:dyDescent="0.2">
      <c r="B111" s="953"/>
      <c r="C111" s="70">
        <v>28</v>
      </c>
      <c r="D111" s="150" t="s">
        <v>382</v>
      </c>
      <c r="E111" s="831" t="s">
        <v>274</v>
      </c>
      <c r="F111" s="938" t="s">
        <v>503</v>
      </c>
      <c r="G111" s="996">
        <v>0</v>
      </c>
      <c r="H111" s="996">
        <f t="shared" si="31"/>
        <v>0</v>
      </c>
      <c r="I111" s="997">
        <f t="shared" si="32"/>
        <v>0</v>
      </c>
      <c r="J111" s="997">
        <f t="shared" si="33"/>
        <v>0</v>
      </c>
      <c r="K111" s="997">
        <f t="shared" si="34"/>
        <v>0</v>
      </c>
      <c r="L111" s="997">
        <f t="shared" si="30"/>
        <v>0</v>
      </c>
      <c r="M111" s="997">
        <f t="shared" si="30"/>
        <v>0</v>
      </c>
      <c r="N111" s="91"/>
      <c r="O111" s="67">
        <f>+G111*tab!D$20</f>
        <v>0</v>
      </c>
      <c r="P111" s="67">
        <f>+H111*tab!E$20</f>
        <v>0</v>
      </c>
      <c r="Q111" s="67">
        <f>+I111*tab!F$20</f>
        <v>0</v>
      </c>
      <c r="R111" s="67">
        <f>+J111*tab!G$20</f>
        <v>0</v>
      </c>
      <c r="S111" s="67">
        <f>+K111*tab!H$20</f>
        <v>0</v>
      </c>
      <c r="T111" s="67">
        <f>+L111*tab!I$20</f>
        <v>0</v>
      </c>
      <c r="U111" s="67">
        <f>+M111*tab!J$20</f>
        <v>0</v>
      </c>
      <c r="V111" s="91"/>
      <c r="W111" s="1274"/>
      <c r="X111" s="1201">
        <f>+G111*tab!D$21</f>
        <v>0</v>
      </c>
      <c r="Y111" s="1201">
        <f>+H111*tab!E$21</f>
        <v>0</v>
      </c>
      <c r="Z111" s="1201">
        <f>+I111*tab!F$21</f>
        <v>0</v>
      </c>
      <c r="AA111" s="1201">
        <f>+J111*tab!G$21</f>
        <v>0</v>
      </c>
      <c r="AB111" s="1201">
        <f>+K111*tab!H$21</f>
        <v>0</v>
      </c>
      <c r="AC111" s="1201">
        <f>+L111*tab!$D$21</f>
        <v>0</v>
      </c>
      <c r="AD111" s="1201">
        <f>+M111*tab!$D$21</f>
        <v>0</v>
      </c>
      <c r="AE111" s="91"/>
      <c r="AF111" s="1016"/>
      <c r="AG111" s="1004"/>
      <c r="AH111" s="1004"/>
      <c r="AI111" s="1004"/>
      <c r="AJ111" s="1004"/>
      <c r="AK111" s="1004"/>
      <c r="AL111" s="1004"/>
      <c r="AM111" s="1004"/>
      <c r="AN111" s="1004"/>
      <c r="AO111" s="1004"/>
      <c r="AP111" s="1004"/>
      <c r="AQ111" s="1004"/>
      <c r="AR111" s="1004"/>
      <c r="AS111" s="1004"/>
    </row>
    <row r="112" spans="2:45" s="112" customFormat="1" x14ac:dyDescent="0.2">
      <c r="B112" s="953"/>
      <c r="C112" s="70"/>
      <c r="D112" s="955"/>
      <c r="E112" s="1320"/>
      <c r="F112" s="938" t="s">
        <v>504</v>
      </c>
      <c r="G112" s="996">
        <v>0</v>
      </c>
      <c r="H112" s="996">
        <f t="shared" si="31"/>
        <v>0</v>
      </c>
      <c r="I112" s="997">
        <f t="shared" si="32"/>
        <v>0</v>
      </c>
      <c r="J112" s="997">
        <f t="shared" si="33"/>
        <v>0</v>
      </c>
      <c r="K112" s="997">
        <f t="shared" si="34"/>
        <v>0</v>
      </c>
      <c r="L112" s="997">
        <f t="shared" si="30"/>
        <v>0</v>
      </c>
      <c r="M112" s="997">
        <f t="shared" si="30"/>
        <v>0</v>
      </c>
      <c r="N112" s="91"/>
      <c r="O112" s="67">
        <f>+G112*tab!D$20</f>
        <v>0</v>
      </c>
      <c r="P112" s="67">
        <f>+H112*tab!E$20</f>
        <v>0</v>
      </c>
      <c r="Q112" s="67">
        <f>+I112*tab!F$20</f>
        <v>0</v>
      </c>
      <c r="R112" s="67">
        <f>+J112*tab!G$20</f>
        <v>0</v>
      </c>
      <c r="S112" s="67">
        <f>+K112*tab!H$20</f>
        <v>0</v>
      </c>
      <c r="T112" s="67">
        <f>+L112*tab!I$20</f>
        <v>0</v>
      </c>
      <c r="U112" s="67">
        <f>+M112*tab!J$20</f>
        <v>0</v>
      </c>
      <c r="V112" s="91"/>
      <c r="W112" s="1274"/>
      <c r="X112" s="1201">
        <f>+G112*tab!D$21</f>
        <v>0</v>
      </c>
      <c r="Y112" s="1201">
        <f>+H112*tab!E$21</f>
        <v>0</v>
      </c>
      <c r="Z112" s="1201">
        <f>+I112*tab!F$21</f>
        <v>0</v>
      </c>
      <c r="AA112" s="1201">
        <f>+J112*tab!G$21</f>
        <v>0</v>
      </c>
      <c r="AB112" s="1201">
        <f>+K112*tab!H$21</f>
        <v>0</v>
      </c>
      <c r="AC112" s="1201">
        <f>+L112*tab!$D$21</f>
        <v>0</v>
      </c>
      <c r="AD112" s="1201">
        <f>+M112*tab!$D$21</f>
        <v>0</v>
      </c>
      <c r="AE112" s="91"/>
      <c r="AF112" s="1016"/>
      <c r="AG112" s="1004"/>
      <c r="AH112" s="1004"/>
      <c r="AI112" s="1004"/>
      <c r="AJ112" s="1004"/>
      <c r="AK112" s="1004"/>
      <c r="AL112" s="1004"/>
      <c r="AM112" s="1004"/>
      <c r="AN112" s="1004"/>
      <c r="AO112" s="1004"/>
      <c r="AP112" s="1004"/>
      <c r="AQ112" s="1004"/>
      <c r="AR112" s="1004"/>
      <c r="AS112" s="1004"/>
    </row>
    <row r="113" spans="2:45" s="112" customFormat="1" x14ac:dyDescent="0.2">
      <c r="B113" s="953"/>
      <c r="C113" s="70">
        <v>29</v>
      </c>
      <c r="D113" s="150" t="s">
        <v>383</v>
      </c>
      <c r="E113" s="831" t="s">
        <v>274</v>
      </c>
      <c r="F113" s="938" t="s">
        <v>503</v>
      </c>
      <c r="G113" s="996">
        <v>0</v>
      </c>
      <c r="H113" s="996">
        <f t="shared" si="31"/>
        <v>0</v>
      </c>
      <c r="I113" s="997">
        <f t="shared" si="32"/>
        <v>0</v>
      </c>
      <c r="J113" s="997">
        <f t="shared" si="33"/>
        <v>0</v>
      </c>
      <c r="K113" s="997">
        <f t="shared" si="34"/>
        <v>0</v>
      </c>
      <c r="L113" s="997">
        <f t="shared" si="30"/>
        <v>0</v>
      </c>
      <c r="M113" s="997">
        <f t="shared" si="30"/>
        <v>0</v>
      </c>
      <c r="N113" s="91"/>
      <c r="O113" s="67">
        <f>+G113*tab!D$20</f>
        <v>0</v>
      </c>
      <c r="P113" s="67">
        <f>+H113*tab!E$20</f>
        <v>0</v>
      </c>
      <c r="Q113" s="67">
        <f>+I113*tab!F$20</f>
        <v>0</v>
      </c>
      <c r="R113" s="67">
        <f>+J113*tab!G$20</f>
        <v>0</v>
      </c>
      <c r="S113" s="67">
        <f>+K113*tab!H$20</f>
        <v>0</v>
      </c>
      <c r="T113" s="67">
        <f>+L113*tab!I$20</f>
        <v>0</v>
      </c>
      <c r="U113" s="67">
        <f>+M113*tab!J$20</f>
        <v>0</v>
      </c>
      <c r="V113" s="91"/>
      <c r="W113" s="1274"/>
      <c r="X113" s="1201">
        <f>+G113*tab!D$21</f>
        <v>0</v>
      </c>
      <c r="Y113" s="1201">
        <f>+H113*tab!E$21</f>
        <v>0</v>
      </c>
      <c r="Z113" s="1201">
        <f>+I113*tab!F$21</f>
        <v>0</v>
      </c>
      <c r="AA113" s="1201">
        <f>+J113*tab!G$21</f>
        <v>0</v>
      </c>
      <c r="AB113" s="1201">
        <f>+K113*tab!H$21</f>
        <v>0</v>
      </c>
      <c r="AC113" s="1201">
        <f>+L113*tab!$D$21</f>
        <v>0</v>
      </c>
      <c r="AD113" s="1201">
        <f>+M113*tab!$D$21</f>
        <v>0</v>
      </c>
      <c r="AE113" s="91"/>
      <c r="AF113" s="1016"/>
      <c r="AG113" s="1004"/>
      <c r="AH113" s="1004"/>
      <c r="AI113" s="1004"/>
      <c r="AJ113" s="1004"/>
      <c r="AK113" s="1004"/>
      <c r="AL113" s="1004"/>
      <c r="AM113" s="1004"/>
      <c r="AN113" s="1004"/>
      <c r="AO113" s="1004"/>
      <c r="AP113" s="1004"/>
      <c r="AQ113" s="1004"/>
      <c r="AR113" s="1004"/>
      <c r="AS113" s="1004"/>
    </row>
    <row r="114" spans="2:45" s="112" customFormat="1" x14ac:dyDescent="0.2">
      <c r="B114" s="953"/>
      <c r="C114" s="70"/>
      <c r="D114" s="955"/>
      <c r="E114" s="1320"/>
      <c r="F114" s="938" t="s">
        <v>504</v>
      </c>
      <c r="G114" s="996">
        <v>0</v>
      </c>
      <c r="H114" s="996">
        <f t="shared" si="31"/>
        <v>0</v>
      </c>
      <c r="I114" s="997">
        <f t="shared" si="32"/>
        <v>0</v>
      </c>
      <c r="J114" s="997">
        <f t="shared" si="33"/>
        <v>0</v>
      </c>
      <c r="K114" s="997">
        <f t="shared" si="34"/>
        <v>0</v>
      </c>
      <c r="L114" s="997">
        <f t="shared" si="30"/>
        <v>0</v>
      </c>
      <c r="M114" s="997">
        <f t="shared" si="30"/>
        <v>0</v>
      </c>
      <c r="N114" s="91"/>
      <c r="O114" s="67">
        <f>+G114*tab!D$20</f>
        <v>0</v>
      </c>
      <c r="P114" s="67">
        <f>+H114*tab!E$20</f>
        <v>0</v>
      </c>
      <c r="Q114" s="67">
        <f>+I114*tab!F$20</f>
        <v>0</v>
      </c>
      <c r="R114" s="67">
        <f>+J114*tab!G$20</f>
        <v>0</v>
      </c>
      <c r="S114" s="67">
        <f>+K114*tab!H$20</f>
        <v>0</v>
      </c>
      <c r="T114" s="67">
        <f>+L114*tab!I$20</f>
        <v>0</v>
      </c>
      <c r="U114" s="67">
        <f>+M114*tab!J$20</f>
        <v>0</v>
      </c>
      <c r="V114" s="91"/>
      <c r="W114" s="1274"/>
      <c r="X114" s="1201">
        <f>+G114*tab!D$21</f>
        <v>0</v>
      </c>
      <c r="Y114" s="1201">
        <f>+H114*tab!E$21</f>
        <v>0</v>
      </c>
      <c r="Z114" s="1201">
        <f>+I114*tab!F$21</f>
        <v>0</v>
      </c>
      <c r="AA114" s="1201">
        <f>+J114*tab!G$21</f>
        <v>0</v>
      </c>
      <c r="AB114" s="1201">
        <f>+K114*tab!H$21</f>
        <v>0</v>
      </c>
      <c r="AC114" s="1201">
        <f>+L114*tab!$D$21</f>
        <v>0</v>
      </c>
      <c r="AD114" s="1201">
        <f>+M114*tab!$D$21</f>
        <v>0</v>
      </c>
      <c r="AE114" s="91"/>
      <c r="AF114" s="1016"/>
      <c r="AG114" s="1004"/>
      <c r="AH114" s="1004"/>
      <c r="AI114" s="1004"/>
      <c r="AJ114" s="1004"/>
      <c r="AK114" s="1004"/>
      <c r="AL114" s="1004"/>
      <c r="AM114" s="1004"/>
      <c r="AN114" s="1004"/>
      <c r="AO114" s="1004"/>
      <c r="AP114" s="1004"/>
      <c r="AQ114" s="1004"/>
      <c r="AR114" s="1004"/>
      <c r="AS114" s="1004"/>
    </row>
    <row r="115" spans="2:45" s="112" customFormat="1" x14ac:dyDescent="0.2">
      <c r="B115" s="953"/>
      <c r="C115" s="70">
        <v>30</v>
      </c>
      <c r="D115" s="969" t="s">
        <v>384</v>
      </c>
      <c r="E115" s="970" t="s">
        <v>274</v>
      </c>
      <c r="F115" s="938" t="s">
        <v>503</v>
      </c>
      <c r="G115" s="998">
        <v>0</v>
      </c>
      <c r="H115" s="998">
        <f t="shared" si="31"/>
        <v>0</v>
      </c>
      <c r="I115" s="999">
        <f t="shared" si="32"/>
        <v>0</v>
      </c>
      <c r="J115" s="999">
        <f t="shared" si="33"/>
        <v>0</v>
      </c>
      <c r="K115" s="999">
        <f t="shared" si="34"/>
        <v>0</v>
      </c>
      <c r="L115" s="999">
        <f t="shared" si="30"/>
        <v>0</v>
      </c>
      <c r="M115" s="999">
        <f t="shared" si="30"/>
        <v>0</v>
      </c>
      <c r="N115" s="492"/>
      <c r="O115" s="67">
        <f>+G115*tab!D$20</f>
        <v>0</v>
      </c>
      <c r="P115" s="67">
        <f>+H115*tab!E$20</f>
        <v>0</v>
      </c>
      <c r="Q115" s="67">
        <f>+I115*tab!F$20</f>
        <v>0</v>
      </c>
      <c r="R115" s="67">
        <f>+J115*tab!G$20</f>
        <v>0</v>
      </c>
      <c r="S115" s="67">
        <f>+K115*tab!H$20</f>
        <v>0</v>
      </c>
      <c r="T115" s="67">
        <f>+L115*tab!I$20</f>
        <v>0</v>
      </c>
      <c r="U115" s="67">
        <f>+M115*tab!J$20</f>
        <v>0</v>
      </c>
      <c r="V115" s="492"/>
      <c r="W115" s="1274"/>
      <c r="X115" s="1201">
        <f>+G115*tab!D$21</f>
        <v>0</v>
      </c>
      <c r="Y115" s="1201">
        <f>+H115*tab!E$21</f>
        <v>0</v>
      </c>
      <c r="Z115" s="1201">
        <f>+I115*tab!F$21</f>
        <v>0</v>
      </c>
      <c r="AA115" s="1201">
        <f>+J115*tab!G$21</f>
        <v>0</v>
      </c>
      <c r="AB115" s="1201">
        <f>+K115*tab!H$21</f>
        <v>0</v>
      </c>
      <c r="AC115" s="1201">
        <f>+L115*tab!$D$21</f>
        <v>0</v>
      </c>
      <c r="AD115" s="1201">
        <f>+M115*tab!$D$21</f>
        <v>0</v>
      </c>
      <c r="AE115" s="492"/>
      <c r="AF115" s="1016"/>
      <c r="AG115" s="1004"/>
      <c r="AH115" s="1004"/>
      <c r="AI115" s="1004"/>
      <c r="AJ115" s="1004"/>
      <c r="AK115" s="1004"/>
      <c r="AL115" s="1004"/>
      <c r="AM115" s="1004"/>
      <c r="AN115" s="1004"/>
      <c r="AO115" s="1004"/>
      <c r="AP115" s="1004"/>
      <c r="AQ115" s="1004"/>
      <c r="AR115" s="1004"/>
      <c r="AS115" s="1004"/>
    </row>
    <row r="116" spans="2:45" s="112" customFormat="1" x14ac:dyDescent="0.2">
      <c r="B116" s="953"/>
      <c r="C116" s="68"/>
      <c r="D116" s="955"/>
      <c r="E116" s="956"/>
      <c r="F116" s="972" t="s">
        <v>504</v>
      </c>
      <c r="G116" s="996">
        <v>0</v>
      </c>
      <c r="H116" s="996">
        <f t="shared" si="31"/>
        <v>0</v>
      </c>
      <c r="I116" s="997">
        <f t="shared" si="32"/>
        <v>0</v>
      </c>
      <c r="J116" s="997">
        <f t="shared" si="33"/>
        <v>0</v>
      </c>
      <c r="K116" s="997">
        <f t="shared" si="34"/>
        <v>0</v>
      </c>
      <c r="L116" s="997">
        <f t="shared" si="30"/>
        <v>0</v>
      </c>
      <c r="M116" s="997">
        <f t="shared" si="30"/>
        <v>0</v>
      </c>
      <c r="N116" s="91"/>
      <c r="O116" s="67">
        <f>+G116*tab!D$20</f>
        <v>0</v>
      </c>
      <c r="P116" s="67">
        <f>+H116*tab!E$20</f>
        <v>0</v>
      </c>
      <c r="Q116" s="67">
        <f>+I116*tab!F$20</f>
        <v>0</v>
      </c>
      <c r="R116" s="67">
        <f>+J116*tab!G$20</f>
        <v>0</v>
      </c>
      <c r="S116" s="67">
        <f>+K116*tab!H$20</f>
        <v>0</v>
      </c>
      <c r="T116" s="67">
        <f>+L116*tab!I$20</f>
        <v>0</v>
      </c>
      <c r="U116" s="67">
        <f>+M116*tab!J$20</f>
        <v>0</v>
      </c>
      <c r="V116" s="91"/>
      <c r="W116" s="1274"/>
      <c r="X116" s="1201">
        <f>+G116*tab!D$21</f>
        <v>0</v>
      </c>
      <c r="Y116" s="1201">
        <f>+H116*tab!E$21</f>
        <v>0</v>
      </c>
      <c r="Z116" s="1201">
        <f>+I116*tab!F$21</f>
        <v>0</v>
      </c>
      <c r="AA116" s="1201">
        <f>+J116*tab!G$21</f>
        <v>0</v>
      </c>
      <c r="AB116" s="1201">
        <f>+K116*tab!H$21</f>
        <v>0</v>
      </c>
      <c r="AC116" s="1201">
        <f>+L116*tab!$D$21</f>
        <v>0</v>
      </c>
      <c r="AD116" s="1201">
        <f>+M116*tab!$D$21</f>
        <v>0</v>
      </c>
      <c r="AE116" s="91"/>
      <c r="AF116" s="1016"/>
      <c r="AG116" s="1004"/>
      <c r="AH116" s="1004"/>
      <c r="AI116" s="1004"/>
      <c r="AJ116" s="1004"/>
      <c r="AK116" s="1004"/>
      <c r="AL116" s="1004"/>
      <c r="AM116" s="1004"/>
      <c r="AN116" s="1004"/>
      <c r="AO116" s="1004"/>
      <c r="AP116" s="1004"/>
      <c r="AQ116" s="1004"/>
      <c r="AR116" s="1004"/>
      <c r="AS116" s="1004"/>
    </row>
    <row r="117" spans="2:45" s="112" customFormat="1" x14ac:dyDescent="0.2">
      <c r="B117" s="953"/>
      <c r="C117" s="112">
        <v>31</v>
      </c>
      <c r="D117" s="150" t="s">
        <v>546</v>
      </c>
      <c r="E117" s="971" t="s">
        <v>274</v>
      </c>
      <c r="F117" s="972" t="s">
        <v>503</v>
      </c>
      <c r="G117" s="996">
        <v>0</v>
      </c>
      <c r="H117" s="996">
        <f t="shared" ref="H117:H156" si="35">G117</f>
        <v>0</v>
      </c>
      <c r="I117" s="997">
        <f t="shared" ref="I117:I156" si="36">H117</f>
        <v>0</v>
      </c>
      <c r="J117" s="997">
        <f t="shared" ref="J117:J156" si="37">I117</f>
        <v>0</v>
      </c>
      <c r="K117" s="997">
        <f t="shared" ref="K117:K156" si="38">J117</f>
        <v>0</v>
      </c>
      <c r="L117" s="997">
        <f t="shared" si="30"/>
        <v>0</v>
      </c>
      <c r="M117" s="997">
        <f t="shared" si="30"/>
        <v>0</v>
      </c>
      <c r="N117" s="91"/>
      <c r="O117" s="67">
        <f>+G117*tab!D$20</f>
        <v>0</v>
      </c>
      <c r="P117" s="67">
        <f>+H117*tab!E$20</f>
        <v>0</v>
      </c>
      <c r="Q117" s="67">
        <f>+I117*tab!F$20</f>
        <v>0</v>
      </c>
      <c r="R117" s="67">
        <f>+J117*tab!G$20</f>
        <v>0</v>
      </c>
      <c r="S117" s="67">
        <f>+K117*tab!H$20</f>
        <v>0</v>
      </c>
      <c r="T117" s="67">
        <f>+L117*tab!I$20</f>
        <v>0</v>
      </c>
      <c r="U117" s="67">
        <f>+M117*tab!J$20</f>
        <v>0</v>
      </c>
      <c r="V117" s="91"/>
      <c r="W117" s="1274"/>
      <c r="X117" s="1201">
        <f>+G117*tab!D$21</f>
        <v>0</v>
      </c>
      <c r="Y117" s="1201">
        <f>+H117*tab!E$21</f>
        <v>0</v>
      </c>
      <c r="Z117" s="1201">
        <f>+I117*tab!F$21</f>
        <v>0</v>
      </c>
      <c r="AA117" s="1201">
        <f>+J117*tab!G$21</f>
        <v>0</v>
      </c>
      <c r="AB117" s="1201">
        <f>+K117*tab!H$21</f>
        <v>0</v>
      </c>
      <c r="AC117" s="1201">
        <f>+L117*tab!$D$21</f>
        <v>0</v>
      </c>
      <c r="AD117" s="1201">
        <f>+M117*tab!$D$21</f>
        <v>0</v>
      </c>
      <c r="AE117" s="91"/>
      <c r="AF117" s="1016"/>
      <c r="AG117" s="1004"/>
      <c r="AH117" s="1004"/>
      <c r="AI117" s="1004"/>
      <c r="AJ117" s="1004"/>
      <c r="AK117" s="1004"/>
      <c r="AL117" s="1004"/>
      <c r="AM117" s="1004"/>
      <c r="AN117" s="1004"/>
      <c r="AO117" s="1004"/>
      <c r="AP117" s="1004"/>
      <c r="AQ117" s="1004"/>
      <c r="AR117" s="1004"/>
      <c r="AS117" s="1004"/>
    </row>
    <row r="118" spans="2:45" s="112" customFormat="1" x14ac:dyDescent="0.2">
      <c r="B118" s="953"/>
      <c r="D118" s="955"/>
      <c r="E118" s="956"/>
      <c r="F118" s="972" t="s">
        <v>504</v>
      </c>
      <c r="G118" s="996">
        <v>0</v>
      </c>
      <c r="H118" s="996">
        <f t="shared" si="35"/>
        <v>0</v>
      </c>
      <c r="I118" s="997">
        <f t="shared" si="36"/>
        <v>0</v>
      </c>
      <c r="J118" s="997">
        <f t="shared" si="37"/>
        <v>0</v>
      </c>
      <c r="K118" s="997">
        <f t="shared" si="38"/>
        <v>0</v>
      </c>
      <c r="L118" s="997">
        <f t="shared" si="30"/>
        <v>0</v>
      </c>
      <c r="M118" s="997">
        <f t="shared" si="30"/>
        <v>0</v>
      </c>
      <c r="N118" s="91"/>
      <c r="O118" s="67">
        <f>+G118*tab!D$20</f>
        <v>0</v>
      </c>
      <c r="P118" s="67">
        <f>+H118*tab!E$20</f>
        <v>0</v>
      </c>
      <c r="Q118" s="67">
        <f>+I118*tab!F$20</f>
        <v>0</v>
      </c>
      <c r="R118" s="67">
        <f>+J118*tab!G$20</f>
        <v>0</v>
      </c>
      <c r="S118" s="67">
        <f>+K118*tab!H$20</f>
        <v>0</v>
      </c>
      <c r="T118" s="67">
        <f>+L118*tab!I$20</f>
        <v>0</v>
      </c>
      <c r="U118" s="67">
        <f>+M118*tab!J$20</f>
        <v>0</v>
      </c>
      <c r="V118" s="91"/>
      <c r="W118" s="1274"/>
      <c r="X118" s="1201">
        <f>+G118*tab!D$21</f>
        <v>0</v>
      </c>
      <c r="Y118" s="1201">
        <f>+H118*tab!E$21</f>
        <v>0</v>
      </c>
      <c r="Z118" s="1201">
        <f>+I118*tab!F$21</f>
        <v>0</v>
      </c>
      <c r="AA118" s="1201">
        <f>+J118*tab!G$21</f>
        <v>0</v>
      </c>
      <c r="AB118" s="1201">
        <f>+K118*tab!H$21</f>
        <v>0</v>
      </c>
      <c r="AC118" s="1201">
        <f>+L118*tab!$D$21</f>
        <v>0</v>
      </c>
      <c r="AD118" s="1201">
        <f>+M118*tab!$D$21</f>
        <v>0</v>
      </c>
      <c r="AE118" s="91"/>
      <c r="AF118" s="1016"/>
      <c r="AG118" s="1004"/>
      <c r="AH118" s="1004"/>
      <c r="AI118" s="1004"/>
      <c r="AJ118" s="1004"/>
      <c r="AK118" s="1004"/>
      <c r="AL118" s="1004"/>
      <c r="AM118" s="1004"/>
      <c r="AN118" s="1004"/>
      <c r="AO118" s="1004"/>
      <c r="AP118" s="1004"/>
      <c r="AQ118" s="1004"/>
      <c r="AR118" s="1004"/>
      <c r="AS118" s="1004"/>
    </row>
    <row r="119" spans="2:45" s="112" customFormat="1" x14ac:dyDescent="0.2">
      <c r="B119" s="953"/>
      <c r="C119" s="112">
        <v>32</v>
      </c>
      <c r="D119" s="150" t="s">
        <v>547</v>
      </c>
      <c r="E119" s="971" t="s">
        <v>274</v>
      </c>
      <c r="F119" s="972" t="s">
        <v>503</v>
      </c>
      <c r="G119" s="996">
        <v>0</v>
      </c>
      <c r="H119" s="996">
        <f t="shared" si="35"/>
        <v>0</v>
      </c>
      <c r="I119" s="997">
        <f t="shared" si="36"/>
        <v>0</v>
      </c>
      <c r="J119" s="997">
        <f t="shared" si="37"/>
        <v>0</v>
      </c>
      <c r="K119" s="997">
        <f t="shared" si="38"/>
        <v>0</v>
      </c>
      <c r="L119" s="997">
        <f t="shared" si="30"/>
        <v>0</v>
      </c>
      <c r="M119" s="997">
        <f t="shared" si="30"/>
        <v>0</v>
      </c>
      <c r="N119" s="91"/>
      <c r="O119" s="67">
        <f>+G119*tab!D$20</f>
        <v>0</v>
      </c>
      <c r="P119" s="67">
        <f>+H119*tab!E$20</f>
        <v>0</v>
      </c>
      <c r="Q119" s="67">
        <f>+I119*tab!F$20</f>
        <v>0</v>
      </c>
      <c r="R119" s="67">
        <f>+J119*tab!G$20</f>
        <v>0</v>
      </c>
      <c r="S119" s="67">
        <f>+K119*tab!H$20</f>
        <v>0</v>
      </c>
      <c r="T119" s="67">
        <f>+L119*tab!I$20</f>
        <v>0</v>
      </c>
      <c r="U119" s="67">
        <f>+M119*tab!J$20</f>
        <v>0</v>
      </c>
      <c r="V119" s="91"/>
      <c r="W119" s="1274"/>
      <c r="X119" s="1201">
        <f>+G119*tab!D$21</f>
        <v>0</v>
      </c>
      <c r="Y119" s="1201">
        <f>+H119*tab!E$21</f>
        <v>0</v>
      </c>
      <c r="Z119" s="1201">
        <f>+I119*tab!F$21</f>
        <v>0</v>
      </c>
      <c r="AA119" s="1201">
        <f>+J119*tab!G$21</f>
        <v>0</v>
      </c>
      <c r="AB119" s="1201">
        <f>+K119*tab!H$21</f>
        <v>0</v>
      </c>
      <c r="AC119" s="1201">
        <f>+L119*tab!$D$21</f>
        <v>0</v>
      </c>
      <c r="AD119" s="1201">
        <f>+M119*tab!$D$21</f>
        <v>0</v>
      </c>
      <c r="AE119" s="91"/>
      <c r="AF119" s="1016"/>
      <c r="AG119" s="1004"/>
      <c r="AH119" s="1004"/>
      <c r="AI119" s="1004"/>
      <c r="AJ119" s="1004"/>
      <c r="AK119" s="1004"/>
      <c r="AL119" s="1004"/>
      <c r="AM119" s="1004"/>
      <c r="AN119" s="1004"/>
      <c r="AO119" s="1004"/>
      <c r="AP119" s="1004"/>
      <c r="AQ119" s="1004"/>
      <c r="AR119" s="1004"/>
      <c r="AS119" s="1004"/>
    </row>
    <row r="120" spans="2:45" s="112" customFormat="1" x14ac:dyDescent="0.2">
      <c r="B120" s="953"/>
      <c r="D120" s="955"/>
      <c r="E120" s="956"/>
      <c r="F120" s="972" t="s">
        <v>504</v>
      </c>
      <c r="G120" s="996">
        <v>0</v>
      </c>
      <c r="H120" s="996">
        <f t="shared" si="35"/>
        <v>0</v>
      </c>
      <c r="I120" s="997">
        <f t="shared" si="36"/>
        <v>0</v>
      </c>
      <c r="J120" s="997">
        <f t="shared" si="37"/>
        <v>0</v>
      </c>
      <c r="K120" s="997">
        <f t="shared" si="38"/>
        <v>0</v>
      </c>
      <c r="L120" s="997">
        <f t="shared" si="30"/>
        <v>0</v>
      </c>
      <c r="M120" s="997">
        <f t="shared" si="30"/>
        <v>0</v>
      </c>
      <c r="N120" s="91"/>
      <c r="O120" s="67">
        <f>+G120*tab!D$20</f>
        <v>0</v>
      </c>
      <c r="P120" s="67">
        <f>+H120*tab!E$20</f>
        <v>0</v>
      </c>
      <c r="Q120" s="67">
        <f>+I120*tab!F$20</f>
        <v>0</v>
      </c>
      <c r="R120" s="67">
        <f>+J120*tab!G$20</f>
        <v>0</v>
      </c>
      <c r="S120" s="67">
        <f>+K120*tab!H$20</f>
        <v>0</v>
      </c>
      <c r="T120" s="67">
        <f>+L120*tab!I$20</f>
        <v>0</v>
      </c>
      <c r="U120" s="67">
        <f>+M120*tab!J$20</f>
        <v>0</v>
      </c>
      <c r="V120" s="91"/>
      <c r="W120" s="1274"/>
      <c r="X120" s="1201">
        <f>+G120*tab!D$21</f>
        <v>0</v>
      </c>
      <c r="Y120" s="1201">
        <f>+H120*tab!E$21</f>
        <v>0</v>
      </c>
      <c r="Z120" s="1201">
        <f>+I120*tab!F$21</f>
        <v>0</v>
      </c>
      <c r="AA120" s="1201">
        <f>+J120*tab!G$21</f>
        <v>0</v>
      </c>
      <c r="AB120" s="1201">
        <f>+K120*tab!H$21</f>
        <v>0</v>
      </c>
      <c r="AC120" s="1201">
        <f>+L120*tab!$D$21</f>
        <v>0</v>
      </c>
      <c r="AD120" s="1201">
        <f>+M120*tab!$D$21</f>
        <v>0</v>
      </c>
      <c r="AE120" s="91"/>
      <c r="AF120" s="1016"/>
      <c r="AG120" s="1004"/>
      <c r="AH120" s="1004"/>
      <c r="AI120" s="1004"/>
      <c r="AJ120" s="1004"/>
      <c r="AK120" s="1004"/>
      <c r="AL120" s="1004"/>
      <c r="AM120" s="1004"/>
      <c r="AN120" s="1004"/>
      <c r="AO120" s="1004"/>
      <c r="AP120" s="1004"/>
      <c r="AQ120" s="1004"/>
      <c r="AR120" s="1004"/>
      <c r="AS120" s="1004"/>
    </row>
    <row r="121" spans="2:45" s="112" customFormat="1" x14ac:dyDescent="0.2">
      <c r="B121" s="953"/>
      <c r="C121" s="112">
        <v>33</v>
      </c>
      <c r="D121" s="150" t="s">
        <v>548</v>
      </c>
      <c r="E121" s="971" t="s">
        <v>274</v>
      </c>
      <c r="F121" s="972" t="s">
        <v>503</v>
      </c>
      <c r="G121" s="996">
        <v>0</v>
      </c>
      <c r="H121" s="996">
        <f t="shared" si="35"/>
        <v>0</v>
      </c>
      <c r="I121" s="997">
        <f t="shared" si="36"/>
        <v>0</v>
      </c>
      <c r="J121" s="997">
        <f t="shared" si="37"/>
        <v>0</v>
      </c>
      <c r="K121" s="997">
        <f t="shared" si="38"/>
        <v>0</v>
      </c>
      <c r="L121" s="997">
        <f t="shared" si="30"/>
        <v>0</v>
      </c>
      <c r="M121" s="997">
        <f t="shared" si="30"/>
        <v>0</v>
      </c>
      <c r="N121" s="91"/>
      <c r="O121" s="67">
        <f>+G121*tab!D$20</f>
        <v>0</v>
      </c>
      <c r="P121" s="67">
        <f>+H121*tab!E$20</f>
        <v>0</v>
      </c>
      <c r="Q121" s="67">
        <f>+I121*tab!F$20</f>
        <v>0</v>
      </c>
      <c r="R121" s="67">
        <f>+J121*tab!G$20</f>
        <v>0</v>
      </c>
      <c r="S121" s="67">
        <f>+K121*tab!H$20</f>
        <v>0</v>
      </c>
      <c r="T121" s="67">
        <f>+L121*tab!I$20</f>
        <v>0</v>
      </c>
      <c r="U121" s="67">
        <f>+M121*tab!J$20</f>
        <v>0</v>
      </c>
      <c r="V121" s="91"/>
      <c r="W121" s="1274"/>
      <c r="X121" s="1201">
        <f>+G121*tab!D$21</f>
        <v>0</v>
      </c>
      <c r="Y121" s="1201">
        <f>+H121*tab!E$21</f>
        <v>0</v>
      </c>
      <c r="Z121" s="1201">
        <f>+I121*tab!F$21</f>
        <v>0</v>
      </c>
      <c r="AA121" s="1201">
        <f>+J121*tab!G$21</f>
        <v>0</v>
      </c>
      <c r="AB121" s="1201">
        <f>+K121*tab!H$21</f>
        <v>0</v>
      </c>
      <c r="AC121" s="1201">
        <f>+L121*tab!$D$21</f>
        <v>0</v>
      </c>
      <c r="AD121" s="1201">
        <f>+M121*tab!$D$21</f>
        <v>0</v>
      </c>
      <c r="AE121" s="91"/>
      <c r="AF121" s="1016"/>
      <c r="AG121" s="1004"/>
      <c r="AH121" s="1004"/>
      <c r="AI121" s="1004"/>
      <c r="AJ121" s="1004"/>
      <c r="AK121" s="1004"/>
      <c r="AL121" s="1004"/>
      <c r="AM121" s="1004"/>
      <c r="AN121" s="1004"/>
      <c r="AO121" s="1004"/>
      <c r="AP121" s="1004"/>
      <c r="AQ121" s="1004"/>
      <c r="AR121" s="1004"/>
      <c r="AS121" s="1004"/>
    </row>
    <row r="122" spans="2:45" s="112" customFormat="1" x14ac:dyDescent="0.2">
      <c r="B122" s="953"/>
      <c r="D122" s="955"/>
      <c r="E122" s="956"/>
      <c r="F122" s="972" t="s">
        <v>504</v>
      </c>
      <c r="G122" s="996">
        <v>0</v>
      </c>
      <c r="H122" s="996">
        <f t="shared" si="35"/>
        <v>0</v>
      </c>
      <c r="I122" s="997">
        <f t="shared" si="36"/>
        <v>0</v>
      </c>
      <c r="J122" s="997">
        <f t="shared" si="37"/>
        <v>0</v>
      </c>
      <c r="K122" s="997">
        <f t="shared" si="38"/>
        <v>0</v>
      </c>
      <c r="L122" s="997">
        <f t="shared" si="30"/>
        <v>0</v>
      </c>
      <c r="M122" s="997">
        <f t="shared" si="30"/>
        <v>0</v>
      </c>
      <c r="N122" s="91"/>
      <c r="O122" s="67">
        <f>+G122*tab!D$20</f>
        <v>0</v>
      </c>
      <c r="P122" s="67">
        <f>+H122*tab!E$20</f>
        <v>0</v>
      </c>
      <c r="Q122" s="67">
        <f>+I122*tab!F$20</f>
        <v>0</v>
      </c>
      <c r="R122" s="67">
        <f>+J122*tab!G$20</f>
        <v>0</v>
      </c>
      <c r="S122" s="67">
        <f>+K122*tab!H$20</f>
        <v>0</v>
      </c>
      <c r="T122" s="67">
        <f>+L122*tab!I$20</f>
        <v>0</v>
      </c>
      <c r="U122" s="67">
        <f>+M122*tab!J$20</f>
        <v>0</v>
      </c>
      <c r="V122" s="91"/>
      <c r="W122" s="1274"/>
      <c r="X122" s="1201">
        <f>+G122*tab!D$21</f>
        <v>0</v>
      </c>
      <c r="Y122" s="1201">
        <f>+H122*tab!E$21</f>
        <v>0</v>
      </c>
      <c r="Z122" s="1201">
        <f>+I122*tab!F$21</f>
        <v>0</v>
      </c>
      <c r="AA122" s="1201">
        <f>+J122*tab!G$21</f>
        <v>0</v>
      </c>
      <c r="AB122" s="1201">
        <f>+K122*tab!H$21</f>
        <v>0</v>
      </c>
      <c r="AC122" s="1201">
        <f>+L122*tab!$D$21</f>
        <v>0</v>
      </c>
      <c r="AD122" s="1201">
        <f>+M122*tab!$D$21</f>
        <v>0</v>
      </c>
      <c r="AE122" s="91"/>
      <c r="AF122" s="1016"/>
      <c r="AG122" s="1004"/>
      <c r="AH122" s="1004"/>
      <c r="AI122" s="1004"/>
      <c r="AJ122" s="1004"/>
      <c r="AK122" s="1004"/>
      <c r="AL122" s="1004"/>
      <c r="AM122" s="1004"/>
      <c r="AN122" s="1004"/>
      <c r="AO122" s="1004"/>
      <c r="AP122" s="1004"/>
      <c r="AQ122" s="1004"/>
      <c r="AR122" s="1004"/>
      <c r="AS122" s="1004"/>
    </row>
    <row r="123" spans="2:45" s="112" customFormat="1" x14ac:dyDescent="0.2">
      <c r="B123" s="953"/>
      <c r="C123" s="112">
        <v>34</v>
      </c>
      <c r="D123" s="150" t="s">
        <v>549</v>
      </c>
      <c r="E123" s="971" t="s">
        <v>274</v>
      </c>
      <c r="F123" s="972" t="s">
        <v>503</v>
      </c>
      <c r="G123" s="996">
        <v>0</v>
      </c>
      <c r="H123" s="996">
        <f t="shared" si="35"/>
        <v>0</v>
      </c>
      <c r="I123" s="997">
        <f t="shared" si="36"/>
        <v>0</v>
      </c>
      <c r="J123" s="997">
        <f t="shared" si="37"/>
        <v>0</v>
      </c>
      <c r="K123" s="997">
        <f t="shared" si="38"/>
        <v>0</v>
      </c>
      <c r="L123" s="997">
        <f t="shared" si="30"/>
        <v>0</v>
      </c>
      <c r="M123" s="997">
        <f t="shared" si="30"/>
        <v>0</v>
      </c>
      <c r="N123" s="91"/>
      <c r="O123" s="67">
        <f>+G123*tab!D$20</f>
        <v>0</v>
      </c>
      <c r="P123" s="67">
        <f>+H123*tab!E$20</f>
        <v>0</v>
      </c>
      <c r="Q123" s="67">
        <f>+I123*tab!F$20</f>
        <v>0</v>
      </c>
      <c r="R123" s="67">
        <f>+J123*tab!G$20</f>
        <v>0</v>
      </c>
      <c r="S123" s="67">
        <f>+K123*tab!H$20</f>
        <v>0</v>
      </c>
      <c r="T123" s="67">
        <f>+L123*tab!I$20</f>
        <v>0</v>
      </c>
      <c r="U123" s="67">
        <f>+M123*tab!J$20</f>
        <v>0</v>
      </c>
      <c r="V123" s="91"/>
      <c r="W123" s="1274"/>
      <c r="X123" s="1201">
        <f>+G123*tab!D$21</f>
        <v>0</v>
      </c>
      <c r="Y123" s="1201">
        <f>+H123*tab!E$21</f>
        <v>0</v>
      </c>
      <c r="Z123" s="1201">
        <f>+I123*tab!F$21</f>
        <v>0</v>
      </c>
      <c r="AA123" s="1201">
        <f>+J123*tab!G$21</f>
        <v>0</v>
      </c>
      <c r="AB123" s="1201">
        <f>+K123*tab!H$21</f>
        <v>0</v>
      </c>
      <c r="AC123" s="1201">
        <f>+L123*tab!$D$21</f>
        <v>0</v>
      </c>
      <c r="AD123" s="1201">
        <f>+M123*tab!$D$21</f>
        <v>0</v>
      </c>
      <c r="AE123" s="91"/>
      <c r="AF123" s="1016"/>
      <c r="AG123" s="1004"/>
      <c r="AH123" s="1004"/>
      <c r="AI123" s="1004"/>
      <c r="AJ123" s="1004"/>
      <c r="AK123" s="1004"/>
      <c r="AL123" s="1004"/>
      <c r="AM123" s="1004"/>
      <c r="AN123" s="1004"/>
      <c r="AO123" s="1004"/>
      <c r="AP123" s="1004"/>
      <c r="AQ123" s="1004"/>
      <c r="AR123" s="1004"/>
      <c r="AS123" s="1004"/>
    </row>
    <row r="124" spans="2:45" s="112" customFormat="1" x14ac:dyDescent="0.2">
      <c r="B124" s="953"/>
      <c r="D124" s="955"/>
      <c r="E124" s="956"/>
      <c r="F124" s="972" t="s">
        <v>504</v>
      </c>
      <c r="G124" s="996">
        <v>0</v>
      </c>
      <c r="H124" s="996">
        <f t="shared" si="35"/>
        <v>0</v>
      </c>
      <c r="I124" s="997">
        <f t="shared" si="36"/>
        <v>0</v>
      </c>
      <c r="J124" s="997">
        <f t="shared" si="37"/>
        <v>0</v>
      </c>
      <c r="K124" s="997">
        <f t="shared" si="38"/>
        <v>0</v>
      </c>
      <c r="L124" s="997">
        <f t="shared" si="30"/>
        <v>0</v>
      </c>
      <c r="M124" s="997">
        <f t="shared" si="30"/>
        <v>0</v>
      </c>
      <c r="N124" s="91"/>
      <c r="O124" s="67">
        <f>+G124*tab!D$20</f>
        <v>0</v>
      </c>
      <c r="P124" s="67">
        <f>+H124*tab!E$20</f>
        <v>0</v>
      </c>
      <c r="Q124" s="67">
        <f>+I124*tab!F$20</f>
        <v>0</v>
      </c>
      <c r="R124" s="67">
        <f>+J124*tab!G$20</f>
        <v>0</v>
      </c>
      <c r="S124" s="67">
        <f>+K124*tab!H$20</f>
        <v>0</v>
      </c>
      <c r="T124" s="67">
        <f>+L124*tab!I$20</f>
        <v>0</v>
      </c>
      <c r="U124" s="67">
        <f>+M124*tab!J$20</f>
        <v>0</v>
      </c>
      <c r="V124" s="91"/>
      <c r="W124" s="1274"/>
      <c r="X124" s="1201">
        <f>+G124*tab!D$21</f>
        <v>0</v>
      </c>
      <c r="Y124" s="1201">
        <f>+H124*tab!E$21</f>
        <v>0</v>
      </c>
      <c r="Z124" s="1201">
        <f>+I124*tab!F$21</f>
        <v>0</v>
      </c>
      <c r="AA124" s="1201">
        <f>+J124*tab!G$21</f>
        <v>0</v>
      </c>
      <c r="AB124" s="1201">
        <f>+K124*tab!H$21</f>
        <v>0</v>
      </c>
      <c r="AC124" s="1201">
        <f>+L124*tab!$D$21</f>
        <v>0</v>
      </c>
      <c r="AD124" s="1201">
        <f>+M124*tab!$D$21</f>
        <v>0</v>
      </c>
      <c r="AE124" s="91"/>
      <c r="AF124" s="1016"/>
      <c r="AG124" s="1004"/>
      <c r="AH124" s="1004"/>
      <c r="AI124" s="1004"/>
      <c r="AJ124" s="1004"/>
      <c r="AK124" s="1004"/>
      <c r="AL124" s="1004"/>
      <c r="AM124" s="1004"/>
      <c r="AN124" s="1004"/>
      <c r="AO124" s="1004"/>
      <c r="AP124" s="1004"/>
      <c r="AQ124" s="1004"/>
      <c r="AR124" s="1004"/>
      <c r="AS124" s="1004"/>
    </row>
    <row r="125" spans="2:45" s="112" customFormat="1" x14ac:dyDescent="0.2">
      <c r="B125" s="953"/>
      <c r="C125" s="112">
        <v>35</v>
      </c>
      <c r="D125" s="150" t="s">
        <v>550</v>
      </c>
      <c r="E125" s="971" t="s">
        <v>274</v>
      </c>
      <c r="F125" s="972" t="s">
        <v>503</v>
      </c>
      <c r="G125" s="996">
        <v>0</v>
      </c>
      <c r="H125" s="996">
        <f t="shared" si="35"/>
        <v>0</v>
      </c>
      <c r="I125" s="997">
        <f t="shared" si="36"/>
        <v>0</v>
      </c>
      <c r="J125" s="997">
        <f t="shared" si="37"/>
        <v>0</v>
      </c>
      <c r="K125" s="997">
        <f t="shared" si="38"/>
        <v>0</v>
      </c>
      <c r="L125" s="997">
        <f t="shared" si="30"/>
        <v>0</v>
      </c>
      <c r="M125" s="997">
        <f t="shared" si="30"/>
        <v>0</v>
      </c>
      <c r="N125" s="91"/>
      <c r="O125" s="67">
        <f>+G125*tab!D$20</f>
        <v>0</v>
      </c>
      <c r="P125" s="67">
        <f>+H125*tab!E$20</f>
        <v>0</v>
      </c>
      <c r="Q125" s="67">
        <f>+I125*tab!F$20</f>
        <v>0</v>
      </c>
      <c r="R125" s="67">
        <f>+J125*tab!G$20</f>
        <v>0</v>
      </c>
      <c r="S125" s="67">
        <f>+K125*tab!H$20</f>
        <v>0</v>
      </c>
      <c r="T125" s="67">
        <f>+L125*tab!I$20</f>
        <v>0</v>
      </c>
      <c r="U125" s="67">
        <f>+M125*tab!J$20</f>
        <v>0</v>
      </c>
      <c r="V125" s="91"/>
      <c r="W125" s="1274"/>
      <c r="X125" s="1201">
        <f>+G125*tab!D$21</f>
        <v>0</v>
      </c>
      <c r="Y125" s="1201">
        <f>+H125*tab!E$21</f>
        <v>0</v>
      </c>
      <c r="Z125" s="1201">
        <f>+I125*tab!F$21</f>
        <v>0</v>
      </c>
      <c r="AA125" s="1201">
        <f>+J125*tab!G$21</f>
        <v>0</v>
      </c>
      <c r="AB125" s="1201">
        <f>+K125*tab!H$21</f>
        <v>0</v>
      </c>
      <c r="AC125" s="1201">
        <f>+L125*tab!$D$21</f>
        <v>0</v>
      </c>
      <c r="AD125" s="1201">
        <f>+M125*tab!$D$21</f>
        <v>0</v>
      </c>
      <c r="AE125" s="91"/>
      <c r="AF125" s="1016"/>
      <c r="AG125" s="1004"/>
      <c r="AH125" s="1004"/>
      <c r="AI125" s="1004"/>
      <c r="AJ125" s="1004"/>
      <c r="AK125" s="1004"/>
      <c r="AL125" s="1004"/>
      <c r="AM125" s="1004"/>
      <c r="AN125" s="1004"/>
      <c r="AO125" s="1004"/>
      <c r="AP125" s="1004"/>
      <c r="AQ125" s="1004"/>
      <c r="AR125" s="1004"/>
      <c r="AS125" s="1004"/>
    </row>
    <row r="126" spans="2:45" s="112" customFormat="1" x14ac:dyDescent="0.2">
      <c r="B126" s="953"/>
      <c r="D126" s="955"/>
      <c r="E126" s="956"/>
      <c r="F126" s="972" t="s">
        <v>504</v>
      </c>
      <c r="G126" s="996">
        <v>0</v>
      </c>
      <c r="H126" s="996">
        <f t="shared" si="35"/>
        <v>0</v>
      </c>
      <c r="I126" s="997">
        <f t="shared" si="36"/>
        <v>0</v>
      </c>
      <c r="J126" s="997">
        <f t="shared" si="37"/>
        <v>0</v>
      </c>
      <c r="K126" s="997">
        <f t="shared" si="38"/>
        <v>0</v>
      </c>
      <c r="L126" s="997">
        <f t="shared" si="30"/>
        <v>0</v>
      </c>
      <c r="M126" s="997">
        <f t="shared" si="30"/>
        <v>0</v>
      </c>
      <c r="N126" s="91"/>
      <c r="O126" s="67">
        <f>+G126*tab!D$20</f>
        <v>0</v>
      </c>
      <c r="P126" s="67">
        <f>+H126*tab!E$20</f>
        <v>0</v>
      </c>
      <c r="Q126" s="67">
        <f>+I126*tab!F$20</f>
        <v>0</v>
      </c>
      <c r="R126" s="67">
        <f>+J126*tab!G$20</f>
        <v>0</v>
      </c>
      <c r="S126" s="67">
        <f>+K126*tab!H$20</f>
        <v>0</v>
      </c>
      <c r="T126" s="67">
        <f>+L126*tab!I$20</f>
        <v>0</v>
      </c>
      <c r="U126" s="67">
        <f>+M126*tab!J$20</f>
        <v>0</v>
      </c>
      <c r="V126" s="91"/>
      <c r="W126" s="1274"/>
      <c r="X126" s="1201">
        <f>+G126*tab!D$21</f>
        <v>0</v>
      </c>
      <c r="Y126" s="1201">
        <f>+H126*tab!E$21</f>
        <v>0</v>
      </c>
      <c r="Z126" s="1201">
        <f>+I126*tab!F$21</f>
        <v>0</v>
      </c>
      <c r="AA126" s="1201">
        <f>+J126*tab!G$21</f>
        <v>0</v>
      </c>
      <c r="AB126" s="1201">
        <f>+K126*tab!H$21</f>
        <v>0</v>
      </c>
      <c r="AC126" s="1201">
        <f>+L126*tab!$D$21</f>
        <v>0</v>
      </c>
      <c r="AD126" s="1201">
        <f>+M126*tab!$D$21</f>
        <v>0</v>
      </c>
      <c r="AE126" s="91"/>
      <c r="AF126" s="1016"/>
      <c r="AG126" s="1004"/>
      <c r="AH126" s="1004"/>
      <c r="AI126" s="1004"/>
      <c r="AJ126" s="1004"/>
      <c r="AK126" s="1004"/>
      <c r="AL126" s="1004"/>
      <c r="AM126" s="1004"/>
      <c r="AN126" s="1004"/>
      <c r="AO126" s="1004"/>
      <c r="AP126" s="1004"/>
      <c r="AQ126" s="1004"/>
      <c r="AR126" s="1004"/>
      <c r="AS126" s="1004"/>
    </row>
    <row r="127" spans="2:45" s="112" customFormat="1" x14ac:dyDescent="0.2">
      <c r="B127" s="953"/>
      <c r="C127" s="112">
        <v>36</v>
      </c>
      <c r="D127" s="150" t="s">
        <v>551</v>
      </c>
      <c r="E127" s="971" t="s">
        <v>274</v>
      </c>
      <c r="F127" s="972" t="s">
        <v>503</v>
      </c>
      <c r="G127" s="996">
        <v>0</v>
      </c>
      <c r="H127" s="996">
        <f t="shared" si="35"/>
        <v>0</v>
      </c>
      <c r="I127" s="997">
        <f t="shared" si="36"/>
        <v>0</v>
      </c>
      <c r="J127" s="997">
        <f t="shared" si="37"/>
        <v>0</v>
      </c>
      <c r="K127" s="997">
        <f t="shared" si="38"/>
        <v>0</v>
      </c>
      <c r="L127" s="997">
        <f t="shared" si="30"/>
        <v>0</v>
      </c>
      <c r="M127" s="997">
        <f t="shared" si="30"/>
        <v>0</v>
      </c>
      <c r="N127" s="91"/>
      <c r="O127" s="67">
        <f>+G127*tab!D$20</f>
        <v>0</v>
      </c>
      <c r="P127" s="67">
        <f>+H127*tab!E$20</f>
        <v>0</v>
      </c>
      <c r="Q127" s="67">
        <f>+I127*tab!F$20</f>
        <v>0</v>
      </c>
      <c r="R127" s="67">
        <f>+J127*tab!G$20</f>
        <v>0</v>
      </c>
      <c r="S127" s="67">
        <f>+K127*tab!H$20</f>
        <v>0</v>
      </c>
      <c r="T127" s="67">
        <f>+L127*tab!I$20</f>
        <v>0</v>
      </c>
      <c r="U127" s="67">
        <f>+M127*tab!J$20</f>
        <v>0</v>
      </c>
      <c r="V127" s="91"/>
      <c r="W127" s="1274"/>
      <c r="X127" s="1201">
        <f>+G127*tab!D$21</f>
        <v>0</v>
      </c>
      <c r="Y127" s="1201">
        <f>+H127*tab!E$21</f>
        <v>0</v>
      </c>
      <c r="Z127" s="1201">
        <f>+I127*tab!F$21</f>
        <v>0</v>
      </c>
      <c r="AA127" s="1201">
        <f>+J127*tab!G$21</f>
        <v>0</v>
      </c>
      <c r="AB127" s="1201">
        <f>+K127*tab!H$21</f>
        <v>0</v>
      </c>
      <c r="AC127" s="1201">
        <f>+L127*tab!$D$21</f>
        <v>0</v>
      </c>
      <c r="AD127" s="1201">
        <f>+M127*tab!$D$21</f>
        <v>0</v>
      </c>
      <c r="AE127" s="91"/>
      <c r="AF127" s="1016"/>
      <c r="AG127" s="1004"/>
      <c r="AH127" s="1004"/>
      <c r="AI127" s="1004"/>
      <c r="AJ127" s="1004"/>
      <c r="AK127" s="1004"/>
      <c r="AL127" s="1004"/>
      <c r="AM127" s="1004"/>
      <c r="AN127" s="1004"/>
      <c r="AO127" s="1004"/>
      <c r="AP127" s="1004"/>
      <c r="AQ127" s="1004"/>
      <c r="AR127" s="1004"/>
      <c r="AS127" s="1004"/>
    </row>
    <row r="128" spans="2:45" s="112" customFormat="1" x14ac:dyDescent="0.2">
      <c r="B128" s="953"/>
      <c r="D128" s="955"/>
      <c r="E128" s="956"/>
      <c r="F128" s="972" t="s">
        <v>504</v>
      </c>
      <c r="G128" s="996">
        <v>0</v>
      </c>
      <c r="H128" s="996">
        <f t="shared" si="35"/>
        <v>0</v>
      </c>
      <c r="I128" s="997">
        <f t="shared" si="36"/>
        <v>0</v>
      </c>
      <c r="J128" s="997">
        <f t="shared" si="37"/>
        <v>0</v>
      </c>
      <c r="K128" s="997">
        <f t="shared" si="38"/>
        <v>0</v>
      </c>
      <c r="L128" s="997">
        <f t="shared" si="30"/>
        <v>0</v>
      </c>
      <c r="M128" s="997">
        <f t="shared" si="30"/>
        <v>0</v>
      </c>
      <c r="N128" s="91"/>
      <c r="O128" s="67">
        <f>+G128*tab!D$20</f>
        <v>0</v>
      </c>
      <c r="P128" s="67">
        <f>+H128*tab!E$20</f>
        <v>0</v>
      </c>
      <c r="Q128" s="67">
        <f>+I128*tab!F$20</f>
        <v>0</v>
      </c>
      <c r="R128" s="67">
        <f>+J128*tab!G$20</f>
        <v>0</v>
      </c>
      <c r="S128" s="67">
        <f>+K128*tab!H$20</f>
        <v>0</v>
      </c>
      <c r="T128" s="67">
        <f>+L128*tab!I$20</f>
        <v>0</v>
      </c>
      <c r="U128" s="67">
        <f>+M128*tab!J$20</f>
        <v>0</v>
      </c>
      <c r="V128" s="91"/>
      <c r="W128" s="1274"/>
      <c r="X128" s="1201">
        <f>+G128*tab!D$21</f>
        <v>0</v>
      </c>
      <c r="Y128" s="1201">
        <f>+H128*tab!E$21</f>
        <v>0</v>
      </c>
      <c r="Z128" s="1201">
        <f>+I128*tab!F$21</f>
        <v>0</v>
      </c>
      <c r="AA128" s="1201">
        <f>+J128*tab!G$21</f>
        <v>0</v>
      </c>
      <c r="AB128" s="1201">
        <f>+K128*tab!H$21</f>
        <v>0</v>
      </c>
      <c r="AC128" s="1201">
        <f>+L128*tab!$D$21</f>
        <v>0</v>
      </c>
      <c r="AD128" s="1201">
        <f>+M128*tab!$D$21</f>
        <v>0</v>
      </c>
      <c r="AE128" s="91"/>
      <c r="AF128" s="1016"/>
      <c r="AG128" s="1004"/>
      <c r="AH128" s="1004"/>
      <c r="AI128" s="1004"/>
      <c r="AJ128" s="1004"/>
      <c r="AK128" s="1004"/>
      <c r="AL128" s="1004"/>
      <c r="AM128" s="1004"/>
      <c r="AN128" s="1004"/>
      <c r="AO128" s="1004"/>
      <c r="AP128" s="1004"/>
      <c r="AQ128" s="1004"/>
      <c r="AR128" s="1004"/>
      <c r="AS128" s="1004"/>
    </row>
    <row r="129" spans="2:45" s="112" customFormat="1" x14ac:dyDescent="0.2">
      <c r="B129" s="953"/>
      <c r="C129" s="112">
        <v>37</v>
      </c>
      <c r="D129" s="150" t="s">
        <v>552</v>
      </c>
      <c r="E129" s="971" t="s">
        <v>274</v>
      </c>
      <c r="F129" s="972" t="s">
        <v>503</v>
      </c>
      <c r="G129" s="996">
        <v>0</v>
      </c>
      <c r="H129" s="996">
        <f t="shared" si="35"/>
        <v>0</v>
      </c>
      <c r="I129" s="997">
        <f t="shared" si="36"/>
        <v>0</v>
      </c>
      <c r="J129" s="997">
        <f t="shared" si="37"/>
        <v>0</v>
      </c>
      <c r="K129" s="997">
        <f t="shared" si="38"/>
        <v>0</v>
      </c>
      <c r="L129" s="997">
        <f t="shared" si="30"/>
        <v>0</v>
      </c>
      <c r="M129" s="997">
        <f t="shared" si="30"/>
        <v>0</v>
      </c>
      <c r="N129" s="91"/>
      <c r="O129" s="67">
        <f>+G129*tab!D$20</f>
        <v>0</v>
      </c>
      <c r="P129" s="67">
        <f>+H129*tab!E$20</f>
        <v>0</v>
      </c>
      <c r="Q129" s="67">
        <f>+I129*tab!F$20</f>
        <v>0</v>
      </c>
      <c r="R129" s="67">
        <f>+J129*tab!G$20</f>
        <v>0</v>
      </c>
      <c r="S129" s="67">
        <f>+K129*tab!H$20</f>
        <v>0</v>
      </c>
      <c r="T129" s="67">
        <f>+L129*tab!I$20</f>
        <v>0</v>
      </c>
      <c r="U129" s="67">
        <f>+M129*tab!J$20</f>
        <v>0</v>
      </c>
      <c r="V129" s="91"/>
      <c r="W129" s="1274"/>
      <c r="X129" s="1201">
        <f>+G129*tab!D$21</f>
        <v>0</v>
      </c>
      <c r="Y129" s="1201">
        <f>+H129*tab!E$21</f>
        <v>0</v>
      </c>
      <c r="Z129" s="1201">
        <f>+I129*tab!F$21</f>
        <v>0</v>
      </c>
      <c r="AA129" s="1201">
        <f>+J129*tab!G$21</f>
        <v>0</v>
      </c>
      <c r="AB129" s="1201">
        <f>+K129*tab!H$21</f>
        <v>0</v>
      </c>
      <c r="AC129" s="1201">
        <f>+L129*tab!$D$21</f>
        <v>0</v>
      </c>
      <c r="AD129" s="1201">
        <f>+M129*tab!$D$21</f>
        <v>0</v>
      </c>
      <c r="AE129" s="91"/>
      <c r="AF129" s="1016"/>
      <c r="AG129" s="1004"/>
      <c r="AH129" s="1004"/>
      <c r="AI129" s="1004"/>
      <c r="AJ129" s="1004"/>
      <c r="AK129" s="1004"/>
      <c r="AL129" s="1004"/>
      <c r="AM129" s="1004"/>
      <c r="AN129" s="1004"/>
      <c r="AO129" s="1004"/>
      <c r="AP129" s="1004"/>
      <c r="AQ129" s="1004"/>
      <c r="AR129" s="1004"/>
      <c r="AS129" s="1004"/>
    </row>
    <row r="130" spans="2:45" s="112" customFormat="1" x14ac:dyDescent="0.2">
      <c r="B130" s="953"/>
      <c r="D130" s="955"/>
      <c r="E130" s="956"/>
      <c r="F130" s="972" t="s">
        <v>504</v>
      </c>
      <c r="G130" s="996">
        <v>0</v>
      </c>
      <c r="H130" s="996">
        <f t="shared" si="35"/>
        <v>0</v>
      </c>
      <c r="I130" s="997">
        <f t="shared" si="36"/>
        <v>0</v>
      </c>
      <c r="J130" s="997">
        <f t="shared" si="37"/>
        <v>0</v>
      </c>
      <c r="K130" s="997">
        <f t="shared" si="38"/>
        <v>0</v>
      </c>
      <c r="L130" s="997">
        <f t="shared" si="30"/>
        <v>0</v>
      </c>
      <c r="M130" s="997">
        <f t="shared" si="30"/>
        <v>0</v>
      </c>
      <c r="N130" s="91"/>
      <c r="O130" s="67">
        <f>+G130*tab!D$20</f>
        <v>0</v>
      </c>
      <c r="P130" s="67">
        <f>+H130*tab!E$20</f>
        <v>0</v>
      </c>
      <c r="Q130" s="67">
        <f>+I130*tab!F$20</f>
        <v>0</v>
      </c>
      <c r="R130" s="67">
        <f>+J130*tab!G$20</f>
        <v>0</v>
      </c>
      <c r="S130" s="67">
        <f>+K130*tab!H$20</f>
        <v>0</v>
      </c>
      <c r="T130" s="67">
        <f>+L130*tab!I$20</f>
        <v>0</v>
      </c>
      <c r="U130" s="67">
        <f>+M130*tab!J$20</f>
        <v>0</v>
      </c>
      <c r="V130" s="91"/>
      <c r="W130" s="1274"/>
      <c r="X130" s="1201">
        <f>+G130*tab!D$21</f>
        <v>0</v>
      </c>
      <c r="Y130" s="1201">
        <f>+H130*tab!E$21</f>
        <v>0</v>
      </c>
      <c r="Z130" s="1201">
        <f>+I130*tab!F$21</f>
        <v>0</v>
      </c>
      <c r="AA130" s="1201">
        <f>+J130*tab!G$21</f>
        <v>0</v>
      </c>
      <c r="AB130" s="1201">
        <f>+K130*tab!H$21</f>
        <v>0</v>
      </c>
      <c r="AC130" s="1201">
        <f>+L130*tab!$D$21</f>
        <v>0</v>
      </c>
      <c r="AD130" s="1201">
        <f>+M130*tab!$D$21</f>
        <v>0</v>
      </c>
      <c r="AE130" s="91"/>
      <c r="AF130" s="1016"/>
      <c r="AG130" s="1004"/>
      <c r="AH130" s="1004"/>
      <c r="AI130" s="1004"/>
      <c r="AJ130" s="1004"/>
      <c r="AK130" s="1004"/>
      <c r="AL130" s="1004"/>
      <c r="AM130" s="1004"/>
      <c r="AN130" s="1004"/>
      <c r="AO130" s="1004"/>
      <c r="AP130" s="1004"/>
      <c r="AQ130" s="1004"/>
      <c r="AR130" s="1004"/>
      <c r="AS130" s="1004"/>
    </row>
    <row r="131" spans="2:45" s="112" customFormat="1" x14ac:dyDescent="0.2">
      <c r="B131" s="953"/>
      <c r="C131" s="112">
        <v>38</v>
      </c>
      <c r="D131" s="150" t="s">
        <v>553</v>
      </c>
      <c r="E131" s="971" t="s">
        <v>274</v>
      </c>
      <c r="F131" s="972" t="s">
        <v>503</v>
      </c>
      <c r="G131" s="996">
        <v>0</v>
      </c>
      <c r="H131" s="996">
        <f t="shared" si="35"/>
        <v>0</v>
      </c>
      <c r="I131" s="997">
        <f t="shared" si="36"/>
        <v>0</v>
      </c>
      <c r="J131" s="997">
        <f t="shared" si="37"/>
        <v>0</v>
      </c>
      <c r="K131" s="997">
        <f t="shared" si="38"/>
        <v>0</v>
      </c>
      <c r="L131" s="997">
        <f t="shared" si="30"/>
        <v>0</v>
      </c>
      <c r="M131" s="997">
        <f t="shared" si="30"/>
        <v>0</v>
      </c>
      <c r="N131" s="91"/>
      <c r="O131" s="67">
        <f>+G131*tab!D$20</f>
        <v>0</v>
      </c>
      <c r="P131" s="67">
        <f>+H131*tab!E$20</f>
        <v>0</v>
      </c>
      <c r="Q131" s="67">
        <f>+I131*tab!F$20</f>
        <v>0</v>
      </c>
      <c r="R131" s="67">
        <f>+J131*tab!G$20</f>
        <v>0</v>
      </c>
      <c r="S131" s="67">
        <f>+K131*tab!H$20</f>
        <v>0</v>
      </c>
      <c r="T131" s="67">
        <f>+L131*tab!I$20</f>
        <v>0</v>
      </c>
      <c r="U131" s="67">
        <f>+M131*tab!J$20</f>
        <v>0</v>
      </c>
      <c r="V131" s="91"/>
      <c r="W131" s="1274"/>
      <c r="X131" s="1201">
        <f>+G131*tab!D$21</f>
        <v>0</v>
      </c>
      <c r="Y131" s="1201">
        <f>+H131*tab!E$21</f>
        <v>0</v>
      </c>
      <c r="Z131" s="1201">
        <f>+I131*tab!F$21</f>
        <v>0</v>
      </c>
      <c r="AA131" s="1201">
        <f>+J131*tab!G$21</f>
        <v>0</v>
      </c>
      <c r="AB131" s="1201">
        <f>+K131*tab!H$21</f>
        <v>0</v>
      </c>
      <c r="AC131" s="1201">
        <f>+L131*tab!$D$21</f>
        <v>0</v>
      </c>
      <c r="AD131" s="1201">
        <f>+M131*tab!$D$21</f>
        <v>0</v>
      </c>
      <c r="AE131" s="91"/>
      <c r="AF131" s="1016"/>
      <c r="AG131" s="1004"/>
      <c r="AH131" s="1004"/>
      <c r="AI131" s="1004"/>
      <c r="AJ131" s="1004"/>
      <c r="AK131" s="1004"/>
      <c r="AL131" s="1004"/>
      <c r="AM131" s="1004"/>
      <c r="AN131" s="1004"/>
      <c r="AO131" s="1004"/>
      <c r="AP131" s="1004"/>
      <c r="AQ131" s="1004"/>
      <c r="AR131" s="1004"/>
      <c r="AS131" s="1004"/>
    </row>
    <row r="132" spans="2:45" s="112" customFormat="1" x14ac:dyDescent="0.2">
      <c r="B132" s="953"/>
      <c r="D132" s="955"/>
      <c r="E132" s="956"/>
      <c r="F132" s="972" t="s">
        <v>504</v>
      </c>
      <c r="G132" s="996">
        <v>0</v>
      </c>
      <c r="H132" s="996">
        <f t="shared" si="35"/>
        <v>0</v>
      </c>
      <c r="I132" s="997">
        <f t="shared" si="36"/>
        <v>0</v>
      </c>
      <c r="J132" s="997">
        <f t="shared" si="37"/>
        <v>0</v>
      </c>
      <c r="K132" s="997">
        <f t="shared" si="38"/>
        <v>0</v>
      </c>
      <c r="L132" s="997">
        <f t="shared" si="30"/>
        <v>0</v>
      </c>
      <c r="M132" s="997">
        <f t="shared" si="30"/>
        <v>0</v>
      </c>
      <c r="N132" s="91"/>
      <c r="O132" s="67">
        <f>+G132*tab!D$20</f>
        <v>0</v>
      </c>
      <c r="P132" s="67">
        <f>+H132*tab!E$20</f>
        <v>0</v>
      </c>
      <c r="Q132" s="67">
        <f>+I132*tab!F$20</f>
        <v>0</v>
      </c>
      <c r="R132" s="67">
        <f>+J132*tab!G$20</f>
        <v>0</v>
      </c>
      <c r="S132" s="67">
        <f>+K132*tab!H$20</f>
        <v>0</v>
      </c>
      <c r="T132" s="67">
        <f>+L132*tab!I$20</f>
        <v>0</v>
      </c>
      <c r="U132" s="67">
        <f>+M132*tab!J$20</f>
        <v>0</v>
      </c>
      <c r="V132" s="91"/>
      <c r="W132" s="1274"/>
      <c r="X132" s="1201">
        <f>+G132*tab!D$21</f>
        <v>0</v>
      </c>
      <c r="Y132" s="1201">
        <f>+H132*tab!E$21</f>
        <v>0</v>
      </c>
      <c r="Z132" s="1201">
        <f>+I132*tab!F$21</f>
        <v>0</v>
      </c>
      <c r="AA132" s="1201">
        <f>+J132*tab!G$21</f>
        <v>0</v>
      </c>
      <c r="AB132" s="1201">
        <f>+K132*tab!H$21</f>
        <v>0</v>
      </c>
      <c r="AC132" s="1201">
        <f>+L132*tab!$D$21</f>
        <v>0</v>
      </c>
      <c r="AD132" s="1201">
        <f>+M132*tab!$D$21</f>
        <v>0</v>
      </c>
      <c r="AE132" s="91"/>
      <c r="AF132" s="1016"/>
      <c r="AG132" s="1004"/>
      <c r="AH132" s="1004"/>
      <c r="AI132" s="1004"/>
      <c r="AJ132" s="1004"/>
      <c r="AK132" s="1004"/>
      <c r="AL132" s="1004"/>
      <c r="AM132" s="1004"/>
      <c r="AN132" s="1004"/>
      <c r="AO132" s="1004"/>
      <c r="AP132" s="1004"/>
      <c r="AQ132" s="1004"/>
      <c r="AR132" s="1004"/>
      <c r="AS132" s="1004"/>
    </row>
    <row r="133" spans="2:45" s="112" customFormat="1" x14ac:dyDescent="0.2">
      <c r="B133" s="953"/>
      <c r="C133" s="112">
        <v>39</v>
      </c>
      <c r="D133" s="150" t="s">
        <v>554</v>
      </c>
      <c r="E133" s="971" t="s">
        <v>274</v>
      </c>
      <c r="F133" s="972" t="s">
        <v>503</v>
      </c>
      <c r="G133" s="996">
        <v>0</v>
      </c>
      <c r="H133" s="996">
        <f t="shared" si="35"/>
        <v>0</v>
      </c>
      <c r="I133" s="997">
        <f t="shared" si="36"/>
        <v>0</v>
      </c>
      <c r="J133" s="997">
        <f t="shared" si="37"/>
        <v>0</v>
      </c>
      <c r="K133" s="997">
        <f t="shared" si="38"/>
        <v>0</v>
      </c>
      <c r="L133" s="997">
        <f t="shared" si="30"/>
        <v>0</v>
      </c>
      <c r="M133" s="997">
        <f t="shared" si="30"/>
        <v>0</v>
      </c>
      <c r="N133" s="91"/>
      <c r="O133" s="67">
        <f>+G133*tab!D$20</f>
        <v>0</v>
      </c>
      <c r="P133" s="67">
        <f>+H133*tab!E$20</f>
        <v>0</v>
      </c>
      <c r="Q133" s="67">
        <f>+I133*tab!F$20</f>
        <v>0</v>
      </c>
      <c r="R133" s="67">
        <f>+J133*tab!G$20</f>
        <v>0</v>
      </c>
      <c r="S133" s="67">
        <f>+K133*tab!H$20</f>
        <v>0</v>
      </c>
      <c r="T133" s="67">
        <f>+L133*tab!I$20</f>
        <v>0</v>
      </c>
      <c r="U133" s="67">
        <f>+M133*tab!J$20</f>
        <v>0</v>
      </c>
      <c r="V133" s="91"/>
      <c r="W133" s="1274"/>
      <c r="X133" s="1201">
        <f>+G133*tab!D$21</f>
        <v>0</v>
      </c>
      <c r="Y133" s="1201">
        <f>+H133*tab!E$21</f>
        <v>0</v>
      </c>
      <c r="Z133" s="1201">
        <f>+I133*tab!F$21</f>
        <v>0</v>
      </c>
      <c r="AA133" s="1201">
        <f>+J133*tab!G$21</f>
        <v>0</v>
      </c>
      <c r="AB133" s="1201">
        <f>+K133*tab!H$21</f>
        <v>0</v>
      </c>
      <c r="AC133" s="1201">
        <f>+L133*tab!$D$21</f>
        <v>0</v>
      </c>
      <c r="AD133" s="1201">
        <f>+M133*tab!$D$21</f>
        <v>0</v>
      </c>
      <c r="AE133" s="91"/>
      <c r="AF133" s="1016"/>
      <c r="AG133" s="1004"/>
      <c r="AH133" s="1004"/>
      <c r="AI133" s="1004"/>
      <c r="AJ133" s="1004"/>
      <c r="AK133" s="1004"/>
      <c r="AL133" s="1004"/>
      <c r="AM133" s="1004"/>
      <c r="AN133" s="1004"/>
      <c r="AO133" s="1004"/>
      <c r="AP133" s="1004"/>
      <c r="AQ133" s="1004"/>
      <c r="AR133" s="1004"/>
      <c r="AS133" s="1004"/>
    </row>
    <row r="134" spans="2:45" s="112" customFormat="1" x14ac:dyDescent="0.2">
      <c r="B134" s="953"/>
      <c r="D134" s="955"/>
      <c r="E134" s="956"/>
      <c r="F134" s="972" t="s">
        <v>504</v>
      </c>
      <c r="G134" s="996">
        <v>0</v>
      </c>
      <c r="H134" s="996">
        <f t="shared" si="35"/>
        <v>0</v>
      </c>
      <c r="I134" s="997">
        <f t="shared" si="36"/>
        <v>0</v>
      </c>
      <c r="J134" s="997">
        <f t="shared" si="37"/>
        <v>0</v>
      </c>
      <c r="K134" s="997">
        <f t="shared" si="38"/>
        <v>0</v>
      </c>
      <c r="L134" s="997">
        <f t="shared" si="30"/>
        <v>0</v>
      </c>
      <c r="M134" s="997">
        <f t="shared" si="30"/>
        <v>0</v>
      </c>
      <c r="N134" s="91"/>
      <c r="O134" s="67">
        <f>+G134*tab!D$20</f>
        <v>0</v>
      </c>
      <c r="P134" s="67">
        <f>+H134*tab!E$20</f>
        <v>0</v>
      </c>
      <c r="Q134" s="67">
        <f>+I134*tab!F$20</f>
        <v>0</v>
      </c>
      <c r="R134" s="67">
        <f>+J134*tab!G$20</f>
        <v>0</v>
      </c>
      <c r="S134" s="67">
        <f>+K134*tab!H$20</f>
        <v>0</v>
      </c>
      <c r="T134" s="67">
        <f>+L134*tab!I$20</f>
        <v>0</v>
      </c>
      <c r="U134" s="67">
        <f>+M134*tab!J$20</f>
        <v>0</v>
      </c>
      <c r="V134" s="91"/>
      <c r="W134" s="1274"/>
      <c r="X134" s="1201">
        <f>+G134*tab!D$21</f>
        <v>0</v>
      </c>
      <c r="Y134" s="1201">
        <f>+H134*tab!E$21</f>
        <v>0</v>
      </c>
      <c r="Z134" s="1201">
        <f>+I134*tab!F$21</f>
        <v>0</v>
      </c>
      <c r="AA134" s="1201">
        <f>+J134*tab!G$21</f>
        <v>0</v>
      </c>
      <c r="AB134" s="1201">
        <f>+K134*tab!H$21</f>
        <v>0</v>
      </c>
      <c r="AC134" s="1201">
        <f>+L134*tab!$D$21</f>
        <v>0</v>
      </c>
      <c r="AD134" s="1201">
        <f>+M134*tab!$D$21</f>
        <v>0</v>
      </c>
      <c r="AE134" s="91"/>
      <c r="AF134" s="1016"/>
      <c r="AG134" s="1004"/>
      <c r="AH134" s="1004"/>
      <c r="AI134" s="1004"/>
      <c r="AJ134" s="1004"/>
      <c r="AK134" s="1004"/>
      <c r="AL134" s="1004"/>
      <c r="AM134" s="1004"/>
      <c r="AN134" s="1004"/>
      <c r="AO134" s="1004"/>
      <c r="AP134" s="1004"/>
      <c r="AQ134" s="1004"/>
      <c r="AR134" s="1004"/>
      <c r="AS134" s="1004"/>
    </row>
    <row r="135" spans="2:45" s="112" customFormat="1" x14ac:dyDescent="0.2">
      <c r="B135" s="953"/>
      <c r="C135" s="112">
        <v>40</v>
      </c>
      <c r="D135" s="150" t="s">
        <v>555</v>
      </c>
      <c r="E135" s="971" t="s">
        <v>274</v>
      </c>
      <c r="F135" s="972" t="s">
        <v>503</v>
      </c>
      <c r="G135" s="996">
        <v>0</v>
      </c>
      <c r="H135" s="996">
        <f t="shared" si="35"/>
        <v>0</v>
      </c>
      <c r="I135" s="997">
        <f t="shared" si="36"/>
        <v>0</v>
      </c>
      <c r="J135" s="997">
        <f t="shared" si="37"/>
        <v>0</v>
      </c>
      <c r="K135" s="997">
        <f t="shared" si="38"/>
        <v>0</v>
      </c>
      <c r="L135" s="997">
        <f t="shared" si="30"/>
        <v>0</v>
      </c>
      <c r="M135" s="997">
        <f t="shared" si="30"/>
        <v>0</v>
      </c>
      <c r="N135" s="91"/>
      <c r="O135" s="67">
        <f>+G135*tab!D$20</f>
        <v>0</v>
      </c>
      <c r="P135" s="67">
        <f>+H135*tab!E$20</f>
        <v>0</v>
      </c>
      <c r="Q135" s="67">
        <f>+I135*tab!F$20</f>
        <v>0</v>
      </c>
      <c r="R135" s="67">
        <f>+J135*tab!G$20</f>
        <v>0</v>
      </c>
      <c r="S135" s="67">
        <f>+K135*tab!H$20</f>
        <v>0</v>
      </c>
      <c r="T135" s="67">
        <f>+L135*tab!I$20</f>
        <v>0</v>
      </c>
      <c r="U135" s="67">
        <f>+M135*tab!J$20</f>
        <v>0</v>
      </c>
      <c r="V135" s="91"/>
      <c r="W135" s="1274"/>
      <c r="X135" s="1201">
        <f>+G135*tab!D$21</f>
        <v>0</v>
      </c>
      <c r="Y135" s="1201">
        <f>+H135*tab!E$21</f>
        <v>0</v>
      </c>
      <c r="Z135" s="1201">
        <f>+I135*tab!F$21</f>
        <v>0</v>
      </c>
      <c r="AA135" s="1201">
        <f>+J135*tab!G$21</f>
        <v>0</v>
      </c>
      <c r="AB135" s="1201">
        <f>+K135*tab!H$21</f>
        <v>0</v>
      </c>
      <c r="AC135" s="1201">
        <f>+L135*tab!$D$21</f>
        <v>0</v>
      </c>
      <c r="AD135" s="1201">
        <f>+M135*tab!$D$21</f>
        <v>0</v>
      </c>
      <c r="AE135" s="91"/>
      <c r="AF135" s="1016"/>
      <c r="AG135" s="1004"/>
      <c r="AH135" s="1004"/>
      <c r="AI135" s="1004"/>
      <c r="AJ135" s="1004"/>
      <c r="AK135" s="1004"/>
      <c r="AL135" s="1004"/>
      <c r="AM135" s="1004"/>
      <c r="AN135" s="1004"/>
      <c r="AO135" s="1004"/>
      <c r="AP135" s="1004"/>
      <c r="AQ135" s="1004"/>
      <c r="AR135" s="1004"/>
      <c r="AS135" s="1004"/>
    </row>
    <row r="136" spans="2:45" s="112" customFormat="1" x14ac:dyDescent="0.2">
      <c r="B136" s="953"/>
      <c r="D136" s="955"/>
      <c r="E136" s="956"/>
      <c r="F136" s="972" t="s">
        <v>504</v>
      </c>
      <c r="G136" s="996">
        <v>0</v>
      </c>
      <c r="H136" s="996">
        <f t="shared" si="35"/>
        <v>0</v>
      </c>
      <c r="I136" s="997">
        <f t="shared" si="36"/>
        <v>0</v>
      </c>
      <c r="J136" s="997">
        <f t="shared" si="37"/>
        <v>0</v>
      </c>
      <c r="K136" s="997">
        <f t="shared" si="38"/>
        <v>0</v>
      </c>
      <c r="L136" s="997">
        <f t="shared" si="30"/>
        <v>0</v>
      </c>
      <c r="M136" s="997">
        <f t="shared" si="30"/>
        <v>0</v>
      </c>
      <c r="N136" s="91"/>
      <c r="O136" s="67">
        <f>+G136*tab!D$20</f>
        <v>0</v>
      </c>
      <c r="P136" s="67">
        <f>+H136*tab!E$20</f>
        <v>0</v>
      </c>
      <c r="Q136" s="67">
        <f>+I136*tab!F$20</f>
        <v>0</v>
      </c>
      <c r="R136" s="67">
        <f>+J136*tab!G$20</f>
        <v>0</v>
      </c>
      <c r="S136" s="67">
        <f>+K136*tab!H$20</f>
        <v>0</v>
      </c>
      <c r="T136" s="67">
        <f>+L136*tab!I$20</f>
        <v>0</v>
      </c>
      <c r="U136" s="67">
        <f>+M136*tab!J$20</f>
        <v>0</v>
      </c>
      <c r="V136" s="91"/>
      <c r="W136" s="1274"/>
      <c r="X136" s="1201">
        <f>+G136*tab!D$21</f>
        <v>0</v>
      </c>
      <c r="Y136" s="1201">
        <f>+H136*tab!E$21</f>
        <v>0</v>
      </c>
      <c r="Z136" s="1201">
        <f>+I136*tab!F$21</f>
        <v>0</v>
      </c>
      <c r="AA136" s="1201">
        <f>+J136*tab!G$21</f>
        <v>0</v>
      </c>
      <c r="AB136" s="1201">
        <f>+K136*tab!H$21</f>
        <v>0</v>
      </c>
      <c r="AC136" s="1201">
        <f>+L136*tab!$D$21</f>
        <v>0</v>
      </c>
      <c r="AD136" s="1201">
        <f>+M136*tab!$D$21</f>
        <v>0</v>
      </c>
      <c r="AE136" s="91"/>
      <c r="AF136" s="1016"/>
      <c r="AG136" s="1004"/>
      <c r="AH136" s="1004"/>
      <c r="AI136" s="1004"/>
      <c r="AJ136" s="1004"/>
      <c r="AK136" s="1004"/>
      <c r="AL136" s="1004"/>
      <c r="AM136" s="1004"/>
      <c r="AN136" s="1004"/>
      <c r="AO136" s="1004"/>
      <c r="AP136" s="1004"/>
      <c r="AQ136" s="1004"/>
      <c r="AR136" s="1004"/>
      <c r="AS136" s="1004"/>
    </row>
    <row r="137" spans="2:45" s="112" customFormat="1" x14ac:dyDescent="0.2">
      <c r="B137" s="953"/>
      <c r="C137" s="112">
        <v>41</v>
      </c>
      <c r="D137" s="150" t="s">
        <v>556</v>
      </c>
      <c r="E137" s="971" t="s">
        <v>274</v>
      </c>
      <c r="F137" s="972" t="s">
        <v>503</v>
      </c>
      <c r="G137" s="996">
        <v>0</v>
      </c>
      <c r="H137" s="996">
        <f t="shared" si="35"/>
        <v>0</v>
      </c>
      <c r="I137" s="997">
        <f t="shared" si="36"/>
        <v>0</v>
      </c>
      <c r="J137" s="997">
        <f t="shared" si="37"/>
        <v>0</v>
      </c>
      <c r="K137" s="997">
        <f t="shared" si="38"/>
        <v>0</v>
      </c>
      <c r="L137" s="997">
        <f t="shared" si="30"/>
        <v>0</v>
      </c>
      <c r="M137" s="997">
        <f t="shared" si="30"/>
        <v>0</v>
      </c>
      <c r="N137" s="91"/>
      <c r="O137" s="67">
        <f>+G137*tab!D$20</f>
        <v>0</v>
      </c>
      <c r="P137" s="67">
        <f>+H137*tab!E$20</f>
        <v>0</v>
      </c>
      <c r="Q137" s="67">
        <f>+I137*tab!F$20</f>
        <v>0</v>
      </c>
      <c r="R137" s="67">
        <f>+J137*tab!G$20</f>
        <v>0</v>
      </c>
      <c r="S137" s="67">
        <f>+K137*tab!H$20</f>
        <v>0</v>
      </c>
      <c r="T137" s="67">
        <f>+L137*tab!I$20</f>
        <v>0</v>
      </c>
      <c r="U137" s="67">
        <f>+M137*tab!J$20</f>
        <v>0</v>
      </c>
      <c r="V137" s="91"/>
      <c r="W137" s="1274"/>
      <c r="X137" s="1201">
        <f>+G137*tab!D$21</f>
        <v>0</v>
      </c>
      <c r="Y137" s="1201">
        <f>+H137*tab!E$21</f>
        <v>0</v>
      </c>
      <c r="Z137" s="1201">
        <f>+I137*tab!F$21</f>
        <v>0</v>
      </c>
      <c r="AA137" s="1201">
        <f>+J137*tab!G$21</f>
        <v>0</v>
      </c>
      <c r="AB137" s="1201">
        <f>+K137*tab!H$21</f>
        <v>0</v>
      </c>
      <c r="AC137" s="1201">
        <f>+L137*tab!$D$21</f>
        <v>0</v>
      </c>
      <c r="AD137" s="1201">
        <f>+M137*tab!$D$21</f>
        <v>0</v>
      </c>
      <c r="AE137" s="91"/>
      <c r="AF137" s="1016"/>
      <c r="AG137" s="1004"/>
      <c r="AH137" s="1004"/>
      <c r="AI137" s="1004"/>
      <c r="AJ137" s="1004"/>
      <c r="AK137" s="1004"/>
      <c r="AL137" s="1004"/>
      <c r="AM137" s="1004"/>
      <c r="AN137" s="1004"/>
      <c r="AO137" s="1004"/>
      <c r="AP137" s="1004"/>
      <c r="AQ137" s="1004"/>
      <c r="AR137" s="1004"/>
      <c r="AS137" s="1004"/>
    </row>
    <row r="138" spans="2:45" s="112" customFormat="1" x14ac:dyDescent="0.2">
      <c r="B138" s="953"/>
      <c r="D138" s="955"/>
      <c r="E138" s="956"/>
      <c r="F138" s="972" t="s">
        <v>504</v>
      </c>
      <c r="G138" s="996">
        <v>0</v>
      </c>
      <c r="H138" s="996">
        <f t="shared" si="35"/>
        <v>0</v>
      </c>
      <c r="I138" s="997">
        <f t="shared" si="36"/>
        <v>0</v>
      </c>
      <c r="J138" s="997">
        <f t="shared" si="37"/>
        <v>0</v>
      </c>
      <c r="K138" s="997">
        <f t="shared" si="38"/>
        <v>0</v>
      </c>
      <c r="L138" s="997">
        <f t="shared" ref="L138:M156" si="39">K138</f>
        <v>0</v>
      </c>
      <c r="M138" s="997">
        <f t="shared" si="39"/>
        <v>0</v>
      </c>
      <c r="N138" s="91"/>
      <c r="O138" s="67">
        <f>+G138*tab!D$20</f>
        <v>0</v>
      </c>
      <c r="P138" s="67">
        <f>+H138*tab!E$20</f>
        <v>0</v>
      </c>
      <c r="Q138" s="67">
        <f>+I138*tab!F$20</f>
        <v>0</v>
      </c>
      <c r="R138" s="67">
        <f>+J138*tab!G$20</f>
        <v>0</v>
      </c>
      <c r="S138" s="67">
        <f>+K138*tab!H$20</f>
        <v>0</v>
      </c>
      <c r="T138" s="67">
        <f>+L138*tab!I$20</f>
        <v>0</v>
      </c>
      <c r="U138" s="67">
        <f>+M138*tab!J$20</f>
        <v>0</v>
      </c>
      <c r="V138" s="91"/>
      <c r="W138" s="1274"/>
      <c r="X138" s="1201">
        <f>+G138*tab!D$21</f>
        <v>0</v>
      </c>
      <c r="Y138" s="1201">
        <f>+H138*tab!E$21</f>
        <v>0</v>
      </c>
      <c r="Z138" s="1201">
        <f>+I138*tab!F$21</f>
        <v>0</v>
      </c>
      <c r="AA138" s="1201">
        <f>+J138*tab!G$21</f>
        <v>0</v>
      </c>
      <c r="AB138" s="1201">
        <f>+K138*tab!H$21</f>
        <v>0</v>
      </c>
      <c r="AC138" s="1201">
        <f>+L138*tab!$D$21</f>
        <v>0</v>
      </c>
      <c r="AD138" s="1201">
        <f>+M138*tab!$D$21</f>
        <v>0</v>
      </c>
      <c r="AE138" s="91"/>
      <c r="AF138" s="1016"/>
      <c r="AG138" s="1004"/>
      <c r="AH138" s="1004"/>
      <c r="AI138" s="1004"/>
      <c r="AJ138" s="1004"/>
      <c r="AK138" s="1004"/>
      <c r="AL138" s="1004"/>
      <c r="AM138" s="1004"/>
      <c r="AN138" s="1004"/>
      <c r="AO138" s="1004"/>
      <c r="AP138" s="1004"/>
      <c r="AQ138" s="1004"/>
      <c r="AR138" s="1004"/>
      <c r="AS138" s="1004"/>
    </row>
    <row r="139" spans="2:45" s="112" customFormat="1" x14ac:dyDescent="0.2">
      <c r="B139" s="953"/>
      <c r="C139" s="112">
        <v>42</v>
      </c>
      <c r="D139" s="150" t="s">
        <v>557</v>
      </c>
      <c r="E139" s="971" t="s">
        <v>274</v>
      </c>
      <c r="F139" s="972" t="s">
        <v>503</v>
      </c>
      <c r="G139" s="996">
        <v>0</v>
      </c>
      <c r="H139" s="996">
        <f t="shared" si="35"/>
        <v>0</v>
      </c>
      <c r="I139" s="997">
        <f t="shared" si="36"/>
        <v>0</v>
      </c>
      <c r="J139" s="997">
        <f t="shared" si="37"/>
        <v>0</v>
      </c>
      <c r="K139" s="997">
        <f t="shared" si="38"/>
        <v>0</v>
      </c>
      <c r="L139" s="997">
        <f t="shared" si="39"/>
        <v>0</v>
      </c>
      <c r="M139" s="997">
        <f t="shared" si="39"/>
        <v>0</v>
      </c>
      <c r="N139" s="91"/>
      <c r="O139" s="67">
        <f>+G139*tab!D$20</f>
        <v>0</v>
      </c>
      <c r="P139" s="67">
        <f>+H139*tab!E$20</f>
        <v>0</v>
      </c>
      <c r="Q139" s="67">
        <f>+I139*tab!F$20</f>
        <v>0</v>
      </c>
      <c r="R139" s="67">
        <f>+J139*tab!G$20</f>
        <v>0</v>
      </c>
      <c r="S139" s="67">
        <f>+K139*tab!H$20</f>
        <v>0</v>
      </c>
      <c r="T139" s="67">
        <f>+L139*tab!I$20</f>
        <v>0</v>
      </c>
      <c r="U139" s="67">
        <f>+M139*tab!J$20</f>
        <v>0</v>
      </c>
      <c r="V139" s="91"/>
      <c r="W139" s="1274"/>
      <c r="X139" s="1201">
        <f>+G139*tab!D$21</f>
        <v>0</v>
      </c>
      <c r="Y139" s="1201">
        <f>+H139*tab!E$21</f>
        <v>0</v>
      </c>
      <c r="Z139" s="1201">
        <f>+I139*tab!F$21</f>
        <v>0</v>
      </c>
      <c r="AA139" s="1201">
        <f>+J139*tab!G$21</f>
        <v>0</v>
      </c>
      <c r="AB139" s="1201">
        <f>+K139*tab!H$21</f>
        <v>0</v>
      </c>
      <c r="AC139" s="1201">
        <f>+L139*tab!$D$21</f>
        <v>0</v>
      </c>
      <c r="AD139" s="1201">
        <f>+M139*tab!$D$21</f>
        <v>0</v>
      </c>
      <c r="AE139" s="91"/>
      <c r="AF139" s="1016"/>
      <c r="AG139" s="1004"/>
      <c r="AH139" s="1004"/>
      <c r="AI139" s="1004"/>
      <c r="AJ139" s="1004"/>
      <c r="AK139" s="1004"/>
      <c r="AL139" s="1004"/>
      <c r="AM139" s="1004"/>
      <c r="AN139" s="1004"/>
      <c r="AO139" s="1004"/>
      <c r="AP139" s="1004"/>
      <c r="AQ139" s="1004"/>
      <c r="AR139" s="1004"/>
      <c r="AS139" s="1004"/>
    </row>
    <row r="140" spans="2:45" s="112" customFormat="1" x14ac:dyDescent="0.2">
      <c r="B140" s="953"/>
      <c r="D140" s="955"/>
      <c r="E140" s="956"/>
      <c r="F140" s="972" t="s">
        <v>504</v>
      </c>
      <c r="G140" s="996">
        <v>0</v>
      </c>
      <c r="H140" s="996">
        <f t="shared" si="35"/>
        <v>0</v>
      </c>
      <c r="I140" s="997">
        <f t="shared" si="36"/>
        <v>0</v>
      </c>
      <c r="J140" s="997">
        <f t="shared" si="37"/>
        <v>0</v>
      </c>
      <c r="K140" s="997">
        <f t="shared" si="38"/>
        <v>0</v>
      </c>
      <c r="L140" s="997">
        <f t="shared" si="39"/>
        <v>0</v>
      </c>
      <c r="M140" s="997">
        <f t="shared" si="39"/>
        <v>0</v>
      </c>
      <c r="N140" s="91"/>
      <c r="O140" s="67">
        <f>+G140*tab!D$20</f>
        <v>0</v>
      </c>
      <c r="P140" s="67">
        <f>+H140*tab!E$20</f>
        <v>0</v>
      </c>
      <c r="Q140" s="67">
        <f>+I140*tab!F$20</f>
        <v>0</v>
      </c>
      <c r="R140" s="67">
        <f>+J140*tab!G$20</f>
        <v>0</v>
      </c>
      <c r="S140" s="67">
        <f>+K140*tab!H$20</f>
        <v>0</v>
      </c>
      <c r="T140" s="67">
        <f>+L140*tab!I$20</f>
        <v>0</v>
      </c>
      <c r="U140" s="67">
        <f>+M140*tab!J$20</f>
        <v>0</v>
      </c>
      <c r="V140" s="91"/>
      <c r="W140" s="1274"/>
      <c r="X140" s="1201">
        <f>+G140*tab!D$21</f>
        <v>0</v>
      </c>
      <c r="Y140" s="1201">
        <f>+H140*tab!E$21</f>
        <v>0</v>
      </c>
      <c r="Z140" s="1201">
        <f>+I140*tab!F$21</f>
        <v>0</v>
      </c>
      <c r="AA140" s="1201">
        <f>+J140*tab!G$21</f>
        <v>0</v>
      </c>
      <c r="AB140" s="1201">
        <f>+K140*tab!H$21</f>
        <v>0</v>
      </c>
      <c r="AC140" s="1201">
        <f>+L140*tab!$D$21</f>
        <v>0</v>
      </c>
      <c r="AD140" s="1201">
        <f>+M140*tab!$D$21</f>
        <v>0</v>
      </c>
      <c r="AE140" s="91"/>
      <c r="AF140" s="1016"/>
      <c r="AG140" s="1004"/>
      <c r="AH140" s="1004"/>
      <c r="AI140" s="1004"/>
      <c r="AJ140" s="1004"/>
      <c r="AK140" s="1004"/>
      <c r="AL140" s="1004"/>
      <c r="AM140" s="1004"/>
      <c r="AN140" s="1004"/>
      <c r="AO140" s="1004"/>
      <c r="AP140" s="1004"/>
      <c r="AQ140" s="1004"/>
      <c r="AR140" s="1004"/>
      <c r="AS140" s="1004"/>
    </row>
    <row r="141" spans="2:45" s="112" customFormat="1" x14ac:dyDescent="0.2">
      <c r="B141" s="953"/>
      <c r="C141" s="112">
        <v>43</v>
      </c>
      <c r="D141" s="150" t="s">
        <v>558</v>
      </c>
      <c r="E141" s="971" t="s">
        <v>274</v>
      </c>
      <c r="F141" s="972" t="s">
        <v>503</v>
      </c>
      <c r="G141" s="996">
        <v>0</v>
      </c>
      <c r="H141" s="996">
        <f t="shared" si="35"/>
        <v>0</v>
      </c>
      <c r="I141" s="997">
        <f t="shared" si="36"/>
        <v>0</v>
      </c>
      <c r="J141" s="997">
        <f t="shared" si="37"/>
        <v>0</v>
      </c>
      <c r="K141" s="997">
        <f t="shared" si="38"/>
        <v>0</v>
      </c>
      <c r="L141" s="997">
        <f t="shared" si="39"/>
        <v>0</v>
      </c>
      <c r="M141" s="997">
        <f t="shared" si="39"/>
        <v>0</v>
      </c>
      <c r="N141" s="91"/>
      <c r="O141" s="67">
        <f>+G141*tab!D$20</f>
        <v>0</v>
      </c>
      <c r="P141" s="67">
        <f>+H141*tab!E$20</f>
        <v>0</v>
      </c>
      <c r="Q141" s="67">
        <f>+I141*tab!F$20</f>
        <v>0</v>
      </c>
      <c r="R141" s="67">
        <f>+J141*tab!G$20</f>
        <v>0</v>
      </c>
      <c r="S141" s="67">
        <f>+K141*tab!H$20</f>
        <v>0</v>
      </c>
      <c r="T141" s="67">
        <f>+L141*tab!I$20</f>
        <v>0</v>
      </c>
      <c r="U141" s="67">
        <f>+M141*tab!J$20</f>
        <v>0</v>
      </c>
      <c r="V141" s="91"/>
      <c r="W141" s="1274"/>
      <c r="X141" s="1201">
        <f>+G141*tab!D$21</f>
        <v>0</v>
      </c>
      <c r="Y141" s="1201">
        <f>+H141*tab!E$21</f>
        <v>0</v>
      </c>
      <c r="Z141" s="1201">
        <f>+I141*tab!F$21</f>
        <v>0</v>
      </c>
      <c r="AA141" s="1201">
        <f>+J141*tab!G$21</f>
        <v>0</v>
      </c>
      <c r="AB141" s="1201">
        <f>+K141*tab!H$21</f>
        <v>0</v>
      </c>
      <c r="AC141" s="1201">
        <f>+L141*tab!$D$21</f>
        <v>0</v>
      </c>
      <c r="AD141" s="1201">
        <f>+M141*tab!$D$21</f>
        <v>0</v>
      </c>
      <c r="AE141" s="91"/>
      <c r="AF141" s="1016"/>
      <c r="AG141" s="1004"/>
      <c r="AH141" s="1004"/>
      <c r="AI141" s="1004"/>
      <c r="AJ141" s="1004"/>
      <c r="AK141" s="1004"/>
      <c r="AL141" s="1004"/>
      <c r="AM141" s="1004"/>
      <c r="AN141" s="1004"/>
      <c r="AO141" s="1004"/>
      <c r="AP141" s="1004"/>
      <c r="AQ141" s="1004"/>
      <c r="AR141" s="1004"/>
      <c r="AS141" s="1004"/>
    </row>
    <row r="142" spans="2:45" s="112" customFormat="1" x14ac:dyDescent="0.2">
      <c r="B142" s="953"/>
      <c r="D142" s="955"/>
      <c r="E142" s="956"/>
      <c r="F142" s="972" t="s">
        <v>504</v>
      </c>
      <c r="G142" s="996">
        <v>0</v>
      </c>
      <c r="H142" s="996">
        <f t="shared" si="35"/>
        <v>0</v>
      </c>
      <c r="I142" s="997">
        <f t="shared" si="36"/>
        <v>0</v>
      </c>
      <c r="J142" s="997">
        <f t="shared" si="37"/>
        <v>0</v>
      </c>
      <c r="K142" s="997">
        <f t="shared" si="38"/>
        <v>0</v>
      </c>
      <c r="L142" s="997">
        <f t="shared" si="39"/>
        <v>0</v>
      </c>
      <c r="M142" s="997">
        <f t="shared" si="39"/>
        <v>0</v>
      </c>
      <c r="N142" s="91"/>
      <c r="O142" s="67">
        <f>+G142*tab!D$20</f>
        <v>0</v>
      </c>
      <c r="P142" s="67">
        <f>+H142*tab!E$20</f>
        <v>0</v>
      </c>
      <c r="Q142" s="67">
        <f>+I142*tab!F$20</f>
        <v>0</v>
      </c>
      <c r="R142" s="67">
        <f>+J142*tab!G$20</f>
        <v>0</v>
      </c>
      <c r="S142" s="67">
        <f>+K142*tab!H$20</f>
        <v>0</v>
      </c>
      <c r="T142" s="67">
        <f>+L142*tab!I$20</f>
        <v>0</v>
      </c>
      <c r="U142" s="67">
        <f>+M142*tab!J$20</f>
        <v>0</v>
      </c>
      <c r="V142" s="91"/>
      <c r="W142" s="1274"/>
      <c r="X142" s="1201">
        <f>+G142*tab!D$21</f>
        <v>0</v>
      </c>
      <c r="Y142" s="1201">
        <f>+H142*tab!E$21</f>
        <v>0</v>
      </c>
      <c r="Z142" s="1201">
        <f>+I142*tab!F$21</f>
        <v>0</v>
      </c>
      <c r="AA142" s="1201">
        <f>+J142*tab!G$21</f>
        <v>0</v>
      </c>
      <c r="AB142" s="1201">
        <f>+K142*tab!H$21</f>
        <v>0</v>
      </c>
      <c r="AC142" s="1201">
        <f>+L142*tab!$D$21</f>
        <v>0</v>
      </c>
      <c r="AD142" s="1201">
        <f>+M142*tab!$D$21</f>
        <v>0</v>
      </c>
      <c r="AE142" s="91"/>
      <c r="AF142" s="1016"/>
      <c r="AG142" s="1004"/>
      <c r="AH142" s="1004"/>
      <c r="AI142" s="1004"/>
      <c r="AJ142" s="1004"/>
      <c r="AK142" s="1004"/>
      <c r="AL142" s="1004"/>
      <c r="AM142" s="1004"/>
      <c r="AN142" s="1004"/>
      <c r="AO142" s="1004"/>
      <c r="AP142" s="1004"/>
      <c r="AQ142" s="1004"/>
      <c r="AR142" s="1004"/>
      <c r="AS142" s="1004"/>
    </row>
    <row r="143" spans="2:45" s="112" customFormat="1" x14ac:dyDescent="0.2">
      <c r="B143" s="953"/>
      <c r="C143" s="112">
        <v>44</v>
      </c>
      <c r="D143" s="150" t="s">
        <v>559</v>
      </c>
      <c r="E143" s="971" t="s">
        <v>274</v>
      </c>
      <c r="F143" s="972" t="s">
        <v>503</v>
      </c>
      <c r="G143" s="996">
        <v>0</v>
      </c>
      <c r="H143" s="996">
        <f t="shared" si="35"/>
        <v>0</v>
      </c>
      <c r="I143" s="997">
        <f t="shared" si="36"/>
        <v>0</v>
      </c>
      <c r="J143" s="997">
        <f t="shared" si="37"/>
        <v>0</v>
      </c>
      <c r="K143" s="997">
        <f t="shared" si="38"/>
        <v>0</v>
      </c>
      <c r="L143" s="997">
        <f t="shared" si="39"/>
        <v>0</v>
      </c>
      <c r="M143" s="997">
        <f t="shared" si="39"/>
        <v>0</v>
      </c>
      <c r="N143" s="91"/>
      <c r="O143" s="67">
        <f>+G143*tab!D$20</f>
        <v>0</v>
      </c>
      <c r="P143" s="67">
        <f>+H143*tab!E$20</f>
        <v>0</v>
      </c>
      <c r="Q143" s="67">
        <f>+I143*tab!F$20</f>
        <v>0</v>
      </c>
      <c r="R143" s="67">
        <f>+J143*tab!G$20</f>
        <v>0</v>
      </c>
      <c r="S143" s="67">
        <f>+K143*tab!H$20</f>
        <v>0</v>
      </c>
      <c r="T143" s="67">
        <f>+L143*tab!I$20</f>
        <v>0</v>
      </c>
      <c r="U143" s="67">
        <f>+M143*tab!J$20</f>
        <v>0</v>
      </c>
      <c r="V143" s="91"/>
      <c r="W143" s="1274"/>
      <c r="X143" s="1201">
        <f>+G143*tab!D$21</f>
        <v>0</v>
      </c>
      <c r="Y143" s="1201">
        <f>+H143*tab!E$21</f>
        <v>0</v>
      </c>
      <c r="Z143" s="1201">
        <f>+I143*tab!F$21</f>
        <v>0</v>
      </c>
      <c r="AA143" s="1201">
        <f>+J143*tab!G$21</f>
        <v>0</v>
      </c>
      <c r="AB143" s="1201">
        <f>+K143*tab!H$21</f>
        <v>0</v>
      </c>
      <c r="AC143" s="1201">
        <f>+L143*tab!$D$21</f>
        <v>0</v>
      </c>
      <c r="AD143" s="1201">
        <f>+M143*tab!$D$21</f>
        <v>0</v>
      </c>
      <c r="AE143" s="91"/>
      <c r="AF143" s="1016"/>
      <c r="AG143" s="1004"/>
      <c r="AH143" s="1004"/>
      <c r="AI143" s="1004"/>
      <c r="AJ143" s="1004"/>
      <c r="AK143" s="1004"/>
      <c r="AL143" s="1004"/>
      <c r="AM143" s="1004"/>
      <c r="AN143" s="1004"/>
      <c r="AO143" s="1004"/>
      <c r="AP143" s="1004"/>
      <c r="AQ143" s="1004"/>
      <c r="AR143" s="1004"/>
      <c r="AS143" s="1004"/>
    </row>
    <row r="144" spans="2:45" s="112" customFormat="1" x14ac:dyDescent="0.2">
      <c r="B144" s="953"/>
      <c r="D144" s="955"/>
      <c r="E144" s="956"/>
      <c r="F144" s="972" t="s">
        <v>504</v>
      </c>
      <c r="G144" s="996">
        <v>0</v>
      </c>
      <c r="H144" s="996">
        <f t="shared" si="35"/>
        <v>0</v>
      </c>
      <c r="I144" s="997">
        <f t="shared" si="36"/>
        <v>0</v>
      </c>
      <c r="J144" s="997">
        <f t="shared" si="37"/>
        <v>0</v>
      </c>
      <c r="K144" s="997">
        <f t="shared" si="38"/>
        <v>0</v>
      </c>
      <c r="L144" s="997">
        <f t="shared" si="39"/>
        <v>0</v>
      </c>
      <c r="M144" s="997">
        <f t="shared" si="39"/>
        <v>0</v>
      </c>
      <c r="N144" s="91"/>
      <c r="O144" s="67">
        <f>+G144*tab!D$20</f>
        <v>0</v>
      </c>
      <c r="P144" s="67">
        <f>+H144*tab!E$20</f>
        <v>0</v>
      </c>
      <c r="Q144" s="67">
        <f>+I144*tab!F$20</f>
        <v>0</v>
      </c>
      <c r="R144" s="67">
        <f>+J144*tab!G$20</f>
        <v>0</v>
      </c>
      <c r="S144" s="67">
        <f>+K144*tab!H$20</f>
        <v>0</v>
      </c>
      <c r="T144" s="67">
        <f>+L144*tab!I$20</f>
        <v>0</v>
      </c>
      <c r="U144" s="67">
        <f>+M144*tab!J$20</f>
        <v>0</v>
      </c>
      <c r="V144" s="91"/>
      <c r="W144" s="1274"/>
      <c r="X144" s="1201">
        <f>+G144*tab!D$21</f>
        <v>0</v>
      </c>
      <c r="Y144" s="1201">
        <f>+H144*tab!E$21</f>
        <v>0</v>
      </c>
      <c r="Z144" s="1201">
        <f>+I144*tab!F$21</f>
        <v>0</v>
      </c>
      <c r="AA144" s="1201">
        <f>+J144*tab!G$21</f>
        <v>0</v>
      </c>
      <c r="AB144" s="1201">
        <f>+K144*tab!H$21</f>
        <v>0</v>
      </c>
      <c r="AC144" s="1201">
        <f>+L144*tab!$D$21</f>
        <v>0</v>
      </c>
      <c r="AD144" s="1201">
        <f>+M144*tab!$D$21</f>
        <v>0</v>
      </c>
      <c r="AE144" s="91"/>
      <c r="AF144" s="1016"/>
      <c r="AG144" s="1004"/>
      <c r="AH144" s="1004"/>
      <c r="AI144" s="1004"/>
      <c r="AJ144" s="1004"/>
      <c r="AK144" s="1004"/>
      <c r="AL144" s="1004"/>
      <c r="AM144" s="1004"/>
      <c r="AN144" s="1004"/>
      <c r="AO144" s="1004"/>
      <c r="AP144" s="1004"/>
      <c r="AQ144" s="1004"/>
      <c r="AR144" s="1004"/>
      <c r="AS144" s="1004"/>
    </row>
    <row r="145" spans="2:56" s="112" customFormat="1" x14ac:dyDescent="0.2">
      <c r="B145" s="953"/>
      <c r="C145" s="112">
        <v>45</v>
      </c>
      <c r="D145" s="150" t="s">
        <v>560</v>
      </c>
      <c r="E145" s="971" t="s">
        <v>274</v>
      </c>
      <c r="F145" s="972" t="s">
        <v>503</v>
      </c>
      <c r="G145" s="996">
        <v>0</v>
      </c>
      <c r="H145" s="996">
        <f t="shared" si="35"/>
        <v>0</v>
      </c>
      <c r="I145" s="997">
        <f t="shared" si="36"/>
        <v>0</v>
      </c>
      <c r="J145" s="997">
        <f t="shared" si="37"/>
        <v>0</v>
      </c>
      <c r="K145" s="997">
        <f t="shared" si="38"/>
        <v>0</v>
      </c>
      <c r="L145" s="997">
        <f t="shared" si="39"/>
        <v>0</v>
      </c>
      <c r="M145" s="997">
        <f t="shared" si="39"/>
        <v>0</v>
      </c>
      <c r="N145" s="91"/>
      <c r="O145" s="67">
        <f>+G145*tab!D$20</f>
        <v>0</v>
      </c>
      <c r="P145" s="67">
        <f>+H145*tab!E$20</f>
        <v>0</v>
      </c>
      <c r="Q145" s="67">
        <f>+I145*tab!F$20</f>
        <v>0</v>
      </c>
      <c r="R145" s="67">
        <f>+J145*tab!G$20</f>
        <v>0</v>
      </c>
      <c r="S145" s="67">
        <f>+K145*tab!H$20</f>
        <v>0</v>
      </c>
      <c r="T145" s="67">
        <f>+L145*tab!I$20</f>
        <v>0</v>
      </c>
      <c r="U145" s="67">
        <f>+M145*tab!J$20</f>
        <v>0</v>
      </c>
      <c r="V145" s="91"/>
      <c r="W145" s="1274"/>
      <c r="X145" s="1201">
        <f>+G145*tab!D$21</f>
        <v>0</v>
      </c>
      <c r="Y145" s="1201">
        <f>+H145*tab!E$21</f>
        <v>0</v>
      </c>
      <c r="Z145" s="1201">
        <f>+I145*tab!F$21</f>
        <v>0</v>
      </c>
      <c r="AA145" s="1201">
        <f>+J145*tab!G$21</f>
        <v>0</v>
      </c>
      <c r="AB145" s="1201">
        <f>+K145*tab!H$21</f>
        <v>0</v>
      </c>
      <c r="AC145" s="1201">
        <f>+L145*tab!$D$21</f>
        <v>0</v>
      </c>
      <c r="AD145" s="1201">
        <f>+M145*tab!$D$21</f>
        <v>0</v>
      </c>
      <c r="AE145" s="91"/>
      <c r="AF145" s="1016"/>
      <c r="AG145" s="1004"/>
      <c r="AH145" s="1004"/>
      <c r="AI145" s="1004"/>
      <c r="AJ145" s="1004"/>
      <c r="AK145" s="1004"/>
      <c r="AL145" s="1004"/>
      <c r="AM145" s="1004"/>
      <c r="AN145" s="1004"/>
      <c r="AO145" s="1004"/>
      <c r="AP145" s="1004"/>
      <c r="AQ145" s="1004"/>
      <c r="AR145" s="1004"/>
      <c r="AS145" s="1004"/>
    </row>
    <row r="146" spans="2:56" s="112" customFormat="1" x14ac:dyDescent="0.2">
      <c r="B146" s="953"/>
      <c r="D146" s="955"/>
      <c r="E146" s="956"/>
      <c r="F146" s="972" t="s">
        <v>504</v>
      </c>
      <c r="G146" s="996">
        <v>0</v>
      </c>
      <c r="H146" s="996">
        <f t="shared" si="35"/>
        <v>0</v>
      </c>
      <c r="I146" s="997">
        <f t="shared" si="36"/>
        <v>0</v>
      </c>
      <c r="J146" s="997">
        <f t="shared" si="37"/>
        <v>0</v>
      </c>
      <c r="K146" s="997">
        <f t="shared" si="38"/>
        <v>0</v>
      </c>
      <c r="L146" s="997">
        <f t="shared" si="39"/>
        <v>0</v>
      </c>
      <c r="M146" s="997">
        <f t="shared" si="39"/>
        <v>0</v>
      </c>
      <c r="N146" s="91"/>
      <c r="O146" s="67">
        <f>+G146*tab!D$20</f>
        <v>0</v>
      </c>
      <c r="P146" s="67">
        <f>+H146*tab!E$20</f>
        <v>0</v>
      </c>
      <c r="Q146" s="67">
        <f>+I146*tab!F$20</f>
        <v>0</v>
      </c>
      <c r="R146" s="67">
        <f>+J146*tab!G$20</f>
        <v>0</v>
      </c>
      <c r="S146" s="67">
        <f>+K146*tab!H$20</f>
        <v>0</v>
      </c>
      <c r="T146" s="67">
        <f>+L146*tab!I$20</f>
        <v>0</v>
      </c>
      <c r="U146" s="67">
        <f>+M146*tab!J$20</f>
        <v>0</v>
      </c>
      <c r="V146" s="91"/>
      <c r="W146" s="1274"/>
      <c r="X146" s="1201">
        <f>+G146*tab!D$21</f>
        <v>0</v>
      </c>
      <c r="Y146" s="1201">
        <f>+H146*tab!E$21</f>
        <v>0</v>
      </c>
      <c r="Z146" s="1201">
        <f>+I146*tab!F$21</f>
        <v>0</v>
      </c>
      <c r="AA146" s="1201">
        <f>+J146*tab!G$21</f>
        <v>0</v>
      </c>
      <c r="AB146" s="1201">
        <f>+K146*tab!H$21</f>
        <v>0</v>
      </c>
      <c r="AC146" s="1201">
        <f>+L146*tab!$D$21</f>
        <v>0</v>
      </c>
      <c r="AD146" s="1201">
        <f>+M146*tab!$D$21</f>
        <v>0</v>
      </c>
      <c r="AE146" s="91"/>
      <c r="AF146" s="1016"/>
      <c r="AG146" s="1004"/>
      <c r="AH146" s="1004"/>
      <c r="AI146" s="1004"/>
      <c r="AJ146" s="1004"/>
      <c r="AK146" s="1004"/>
      <c r="AL146" s="1004"/>
      <c r="AM146" s="1004"/>
      <c r="AN146" s="1004"/>
      <c r="AO146" s="1004"/>
      <c r="AP146" s="1004"/>
      <c r="AQ146" s="1004"/>
      <c r="AR146" s="1004"/>
      <c r="AS146" s="1004"/>
    </row>
    <row r="147" spans="2:56" s="112" customFormat="1" x14ac:dyDescent="0.2">
      <c r="B147" s="953"/>
      <c r="C147" s="112">
        <v>46</v>
      </c>
      <c r="D147" s="150" t="s">
        <v>561</v>
      </c>
      <c r="E147" s="971" t="s">
        <v>274</v>
      </c>
      <c r="F147" s="972" t="s">
        <v>503</v>
      </c>
      <c r="G147" s="996">
        <v>0</v>
      </c>
      <c r="H147" s="996">
        <f t="shared" si="35"/>
        <v>0</v>
      </c>
      <c r="I147" s="997">
        <f t="shared" si="36"/>
        <v>0</v>
      </c>
      <c r="J147" s="997">
        <f t="shared" si="37"/>
        <v>0</v>
      </c>
      <c r="K147" s="997">
        <f t="shared" si="38"/>
        <v>0</v>
      </c>
      <c r="L147" s="997">
        <f t="shared" si="39"/>
        <v>0</v>
      </c>
      <c r="M147" s="997">
        <f t="shared" si="39"/>
        <v>0</v>
      </c>
      <c r="N147" s="91"/>
      <c r="O147" s="67">
        <f>+G147*tab!D$20</f>
        <v>0</v>
      </c>
      <c r="P147" s="67">
        <f>+H147*tab!E$20</f>
        <v>0</v>
      </c>
      <c r="Q147" s="67">
        <f>+I147*tab!F$20</f>
        <v>0</v>
      </c>
      <c r="R147" s="67">
        <f>+J147*tab!G$20</f>
        <v>0</v>
      </c>
      <c r="S147" s="67">
        <f>+K147*tab!H$20</f>
        <v>0</v>
      </c>
      <c r="T147" s="67">
        <f>+L147*tab!I$20</f>
        <v>0</v>
      </c>
      <c r="U147" s="67">
        <f>+M147*tab!J$20</f>
        <v>0</v>
      </c>
      <c r="V147" s="91"/>
      <c r="W147" s="1274"/>
      <c r="X147" s="1201">
        <f>+G147*tab!D$21</f>
        <v>0</v>
      </c>
      <c r="Y147" s="1201">
        <f>+H147*tab!E$21</f>
        <v>0</v>
      </c>
      <c r="Z147" s="1201">
        <f>+I147*tab!F$21</f>
        <v>0</v>
      </c>
      <c r="AA147" s="1201">
        <f>+J147*tab!G$21</f>
        <v>0</v>
      </c>
      <c r="AB147" s="1201">
        <f>+K147*tab!H$21</f>
        <v>0</v>
      </c>
      <c r="AC147" s="1201">
        <f>+L147*tab!$D$21</f>
        <v>0</v>
      </c>
      <c r="AD147" s="1201">
        <f>+M147*tab!$D$21</f>
        <v>0</v>
      </c>
      <c r="AE147" s="91"/>
      <c r="AF147" s="1016"/>
      <c r="AG147" s="1004"/>
      <c r="AH147" s="1004"/>
      <c r="AI147" s="1004"/>
      <c r="AJ147" s="1004"/>
      <c r="AK147" s="1004"/>
      <c r="AL147" s="1004"/>
      <c r="AM147" s="1004"/>
      <c r="AN147" s="1004"/>
      <c r="AO147" s="1004"/>
      <c r="AP147" s="1004"/>
      <c r="AQ147" s="1004"/>
      <c r="AR147" s="1004"/>
      <c r="AS147" s="1004"/>
    </row>
    <row r="148" spans="2:56" s="112" customFormat="1" x14ac:dyDescent="0.2">
      <c r="B148" s="953"/>
      <c r="D148" s="955"/>
      <c r="E148" s="956"/>
      <c r="F148" s="972" t="s">
        <v>504</v>
      </c>
      <c r="G148" s="996">
        <v>0</v>
      </c>
      <c r="H148" s="996">
        <f t="shared" si="35"/>
        <v>0</v>
      </c>
      <c r="I148" s="997">
        <f t="shared" si="36"/>
        <v>0</v>
      </c>
      <c r="J148" s="997">
        <f t="shared" si="37"/>
        <v>0</v>
      </c>
      <c r="K148" s="997">
        <f t="shared" si="38"/>
        <v>0</v>
      </c>
      <c r="L148" s="997">
        <f t="shared" si="39"/>
        <v>0</v>
      </c>
      <c r="M148" s="997">
        <f t="shared" si="39"/>
        <v>0</v>
      </c>
      <c r="N148" s="91"/>
      <c r="O148" s="67">
        <f>+G148*tab!D$20</f>
        <v>0</v>
      </c>
      <c r="P148" s="67">
        <f>+H148*tab!E$20</f>
        <v>0</v>
      </c>
      <c r="Q148" s="67">
        <f>+I148*tab!F$20</f>
        <v>0</v>
      </c>
      <c r="R148" s="67">
        <f>+J148*tab!G$20</f>
        <v>0</v>
      </c>
      <c r="S148" s="67">
        <f>+K148*tab!H$20</f>
        <v>0</v>
      </c>
      <c r="T148" s="67">
        <f>+L148*tab!I$20</f>
        <v>0</v>
      </c>
      <c r="U148" s="67">
        <f>+M148*tab!J$20</f>
        <v>0</v>
      </c>
      <c r="V148" s="91"/>
      <c r="W148" s="1274"/>
      <c r="X148" s="1201">
        <f>+G148*tab!D$21</f>
        <v>0</v>
      </c>
      <c r="Y148" s="1201">
        <f>+H148*tab!E$21</f>
        <v>0</v>
      </c>
      <c r="Z148" s="1201">
        <f>+I148*tab!F$21</f>
        <v>0</v>
      </c>
      <c r="AA148" s="1201">
        <f>+J148*tab!G$21</f>
        <v>0</v>
      </c>
      <c r="AB148" s="1201">
        <f>+K148*tab!H$21</f>
        <v>0</v>
      </c>
      <c r="AC148" s="1201">
        <f>+L148*tab!$D$21</f>
        <v>0</v>
      </c>
      <c r="AD148" s="1201">
        <f>+M148*tab!$D$21</f>
        <v>0</v>
      </c>
      <c r="AE148" s="91"/>
      <c r="AF148" s="1016"/>
      <c r="AG148" s="1004"/>
      <c r="AH148" s="1004"/>
      <c r="AI148" s="1004"/>
      <c r="AJ148" s="1004"/>
      <c r="AK148" s="1004"/>
      <c r="AL148" s="1004"/>
      <c r="AM148" s="1004"/>
      <c r="AN148" s="1004"/>
      <c r="AO148" s="1004"/>
      <c r="AP148" s="1004"/>
      <c r="AQ148" s="1004"/>
      <c r="AR148" s="1004"/>
      <c r="AS148" s="1004"/>
    </row>
    <row r="149" spans="2:56" s="112" customFormat="1" x14ac:dyDescent="0.2">
      <c r="B149" s="953"/>
      <c r="C149" s="112">
        <v>47</v>
      </c>
      <c r="D149" s="150" t="s">
        <v>562</v>
      </c>
      <c r="E149" s="971" t="s">
        <v>274</v>
      </c>
      <c r="F149" s="972" t="s">
        <v>503</v>
      </c>
      <c r="G149" s="996">
        <v>0</v>
      </c>
      <c r="H149" s="996">
        <f t="shared" si="35"/>
        <v>0</v>
      </c>
      <c r="I149" s="997">
        <f t="shared" si="36"/>
        <v>0</v>
      </c>
      <c r="J149" s="997">
        <f t="shared" si="37"/>
        <v>0</v>
      </c>
      <c r="K149" s="997">
        <f t="shared" si="38"/>
        <v>0</v>
      </c>
      <c r="L149" s="997">
        <f t="shared" si="39"/>
        <v>0</v>
      </c>
      <c r="M149" s="997">
        <f t="shared" si="39"/>
        <v>0</v>
      </c>
      <c r="N149" s="91"/>
      <c r="O149" s="67">
        <f>+G149*tab!D$20</f>
        <v>0</v>
      </c>
      <c r="P149" s="67">
        <f>+H149*tab!E$20</f>
        <v>0</v>
      </c>
      <c r="Q149" s="67">
        <f>+I149*tab!F$20</f>
        <v>0</v>
      </c>
      <c r="R149" s="67">
        <f>+J149*tab!G$20</f>
        <v>0</v>
      </c>
      <c r="S149" s="67">
        <f>+K149*tab!H$20</f>
        <v>0</v>
      </c>
      <c r="T149" s="67">
        <f>+L149*tab!I$20</f>
        <v>0</v>
      </c>
      <c r="U149" s="67">
        <f>+M149*tab!J$20</f>
        <v>0</v>
      </c>
      <c r="V149" s="91"/>
      <c r="W149" s="1274"/>
      <c r="X149" s="1201">
        <f>+G149*tab!D$21</f>
        <v>0</v>
      </c>
      <c r="Y149" s="1201">
        <f>+H149*tab!E$21</f>
        <v>0</v>
      </c>
      <c r="Z149" s="1201">
        <f>+I149*tab!F$21</f>
        <v>0</v>
      </c>
      <c r="AA149" s="1201">
        <f>+J149*tab!G$21</f>
        <v>0</v>
      </c>
      <c r="AB149" s="1201">
        <f>+K149*tab!H$21</f>
        <v>0</v>
      </c>
      <c r="AC149" s="1201">
        <f>+L149*tab!$D$21</f>
        <v>0</v>
      </c>
      <c r="AD149" s="1201">
        <f>+M149*tab!$D$21</f>
        <v>0</v>
      </c>
      <c r="AE149" s="91"/>
      <c r="AF149" s="1016"/>
      <c r="AG149" s="1004"/>
      <c r="AH149" s="1004"/>
      <c r="AI149" s="1004"/>
      <c r="AJ149" s="1004"/>
      <c r="AK149" s="1004"/>
      <c r="AL149" s="1004"/>
      <c r="AM149" s="1004"/>
      <c r="AN149" s="1004"/>
      <c r="AO149" s="1004"/>
      <c r="AP149" s="1004"/>
      <c r="AQ149" s="1004"/>
      <c r="AR149" s="1004"/>
      <c r="AS149" s="1004"/>
    </row>
    <row r="150" spans="2:56" s="112" customFormat="1" x14ac:dyDescent="0.2">
      <c r="B150" s="953"/>
      <c r="D150" s="955"/>
      <c r="E150" s="956"/>
      <c r="F150" s="972" t="s">
        <v>504</v>
      </c>
      <c r="G150" s="996">
        <v>0</v>
      </c>
      <c r="H150" s="996">
        <f t="shared" si="35"/>
        <v>0</v>
      </c>
      <c r="I150" s="997">
        <f t="shared" si="36"/>
        <v>0</v>
      </c>
      <c r="J150" s="997">
        <f t="shared" si="37"/>
        <v>0</v>
      </c>
      <c r="K150" s="997">
        <f t="shared" si="38"/>
        <v>0</v>
      </c>
      <c r="L150" s="997">
        <f t="shared" si="39"/>
        <v>0</v>
      </c>
      <c r="M150" s="997">
        <f t="shared" si="39"/>
        <v>0</v>
      </c>
      <c r="N150" s="91"/>
      <c r="O150" s="67">
        <f>+G150*tab!D$20</f>
        <v>0</v>
      </c>
      <c r="P150" s="67">
        <f>+H150*tab!E$20</f>
        <v>0</v>
      </c>
      <c r="Q150" s="67">
        <f>+I150*tab!F$20</f>
        <v>0</v>
      </c>
      <c r="R150" s="67">
        <f>+J150*tab!G$20</f>
        <v>0</v>
      </c>
      <c r="S150" s="67">
        <f>+K150*tab!H$20</f>
        <v>0</v>
      </c>
      <c r="T150" s="67">
        <f>+L150*tab!I$20</f>
        <v>0</v>
      </c>
      <c r="U150" s="67">
        <f>+M150*tab!J$20</f>
        <v>0</v>
      </c>
      <c r="V150" s="91"/>
      <c r="W150" s="1274"/>
      <c r="X150" s="1201">
        <f>+G150*tab!D$21</f>
        <v>0</v>
      </c>
      <c r="Y150" s="1201">
        <f>+H150*tab!E$21</f>
        <v>0</v>
      </c>
      <c r="Z150" s="1201">
        <f>+I150*tab!F$21</f>
        <v>0</v>
      </c>
      <c r="AA150" s="1201">
        <f>+J150*tab!G$21</f>
        <v>0</v>
      </c>
      <c r="AB150" s="1201">
        <f>+K150*tab!H$21</f>
        <v>0</v>
      </c>
      <c r="AC150" s="1201">
        <f>+L150*tab!$D$21</f>
        <v>0</v>
      </c>
      <c r="AD150" s="1201">
        <f>+M150*tab!$D$21</f>
        <v>0</v>
      </c>
      <c r="AE150" s="91"/>
      <c r="AF150" s="1016"/>
      <c r="AG150" s="1004"/>
      <c r="AH150" s="1004"/>
      <c r="AI150" s="1004"/>
      <c r="AJ150" s="1004"/>
      <c r="AK150" s="1004"/>
      <c r="AL150" s="1004"/>
      <c r="AM150" s="1004"/>
      <c r="AN150" s="1004"/>
      <c r="AO150" s="1004"/>
      <c r="AP150" s="1004"/>
      <c r="AQ150" s="1004"/>
      <c r="AR150" s="1004"/>
      <c r="AS150" s="1004"/>
    </row>
    <row r="151" spans="2:56" s="112" customFormat="1" x14ac:dyDescent="0.2">
      <c r="B151" s="953"/>
      <c r="C151" s="112">
        <v>48</v>
      </c>
      <c r="D151" s="150" t="s">
        <v>563</v>
      </c>
      <c r="E151" s="971" t="s">
        <v>274</v>
      </c>
      <c r="F151" s="972" t="s">
        <v>503</v>
      </c>
      <c r="G151" s="996">
        <v>0</v>
      </c>
      <c r="H151" s="996">
        <f t="shared" si="35"/>
        <v>0</v>
      </c>
      <c r="I151" s="997">
        <f t="shared" si="36"/>
        <v>0</v>
      </c>
      <c r="J151" s="997">
        <f t="shared" si="37"/>
        <v>0</v>
      </c>
      <c r="K151" s="997">
        <f t="shared" si="38"/>
        <v>0</v>
      </c>
      <c r="L151" s="997">
        <f t="shared" si="39"/>
        <v>0</v>
      </c>
      <c r="M151" s="997">
        <f t="shared" si="39"/>
        <v>0</v>
      </c>
      <c r="N151" s="91"/>
      <c r="O151" s="67">
        <f>+G151*tab!D$20</f>
        <v>0</v>
      </c>
      <c r="P151" s="67">
        <f>+H151*tab!E$20</f>
        <v>0</v>
      </c>
      <c r="Q151" s="67">
        <f>+I151*tab!F$20</f>
        <v>0</v>
      </c>
      <c r="R151" s="67">
        <f>+J151*tab!G$20</f>
        <v>0</v>
      </c>
      <c r="S151" s="67">
        <f>+K151*tab!H$20</f>
        <v>0</v>
      </c>
      <c r="T151" s="67">
        <f>+L151*tab!I$20</f>
        <v>0</v>
      </c>
      <c r="U151" s="67">
        <f>+M151*tab!J$20</f>
        <v>0</v>
      </c>
      <c r="V151" s="91"/>
      <c r="W151" s="1274"/>
      <c r="X151" s="1201">
        <f>+G151*tab!D$21</f>
        <v>0</v>
      </c>
      <c r="Y151" s="1201">
        <f>+H151*tab!E$21</f>
        <v>0</v>
      </c>
      <c r="Z151" s="1201">
        <f>+I151*tab!F$21</f>
        <v>0</v>
      </c>
      <c r="AA151" s="1201">
        <f>+J151*tab!G$21</f>
        <v>0</v>
      </c>
      <c r="AB151" s="1201">
        <f>+K151*tab!H$21</f>
        <v>0</v>
      </c>
      <c r="AC151" s="1201">
        <f>+L151*tab!$D$21</f>
        <v>0</v>
      </c>
      <c r="AD151" s="1201">
        <f>+M151*tab!$D$21</f>
        <v>0</v>
      </c>
      <c r="AE151" s="91"/>
      <c r="AF151" s="1016"/>
      <c r="AG151" s="1004"/>
      <c r="AH151" s="1004"/>
      <c r="AI151" s="1004"/>
      <c r="AJ151" s="1004"/>
      <c r="AK151" s="1004"/>
      <c r="AL151" s="1004"/>
      <c r="AM151" s="1004"/>
      <c r="AN151" s="1004"/>
      <c r="AO151" s="1004"/>
      <c r="AP151" s="1004"/>
      <c r="AQ151" s="1004"/>
      <c r="AR151" s="1004"/>
      <c r="AS151" s="1004"/>
    </row>
    <row r="152" spans="2:56" s="112" customFormat="1" x14ac:dyDescent="0.2">
      <c r="B152" s="953"/>
      <c r="D152" s="955"/>
      <c r="E152" s="956"/>
      <c r="F152" s="972" t="s">
        <v>504</v>
      </c>
      <c r="G152" s="996">
        <v>0</v>
      </c>
      <c r="H152" s="996">
        <f t="shared" si="35"/>
        <v>0</v>
      </c>
      <c r="I152" s="997">
        <f t="shared" si="36"/>
        <v>0</v>
      </c>
      <c r="J152" s="997">
        <f t="shared" si="37"/>
        <v>0</v>
      </c>
      <c r="K152" s="997">
        <f t="shared" si="38"/>
        <v>0</v>
      </c>
      <c r="L152" s="997">
        <f t="shared" si="39"/>
        <v>0</v>
      </c>
      <c r="M152" s="997">
        <f t="shared" si="39"/>
        <v>0</v>
      </c>
      <c r="N152" s="91"/>
      <c r="O152" s="67">
        <f>+G152*tab!D$20</f>
        <v>0</v>
      </c>
      <c r="P152" s="67">
        <f>+H152*tab!E$20</f>
        <v>0</v>
      </c>
      <c r="Q152" s="67">
        <f>+I152*tab!F$20</f>
        <v>0</v>
      </c>
      <c r="R152" s="67">
        <f>+J152*tab!G$20</f>
        <v>0</v>
      </c>
      <c r="S152" s="67">
        <f>+K152*tab!H$20</f>
        <v>0</v>
      </c>
      <c r="T152" s="67">
        <f>+L152*tab!I$20</f>
        <v>0</v>
      </c>
      <c r="U152" s="67">
        <f>+M152*tab!J$20</f>
        <v>0</v>
      </c>
      <c r="V152" s="91"/>
      <c r="W152" s="1274"/>
      <c r="X152" s="1201">
        <f>+G152*tab!D$21</f>
        <v>0</v>
      </c>
      <c r="Y152" s="1201">
        <f>+H152*tab!E$21</f>
        <v>0</v>
      </c>
      <c r="Z152" s="1201">
        <f>+I152*tab!F$21</f>
        <v>0</v>
      </c>
      <c r="AA152" s="1201">
        <f>+J152*tab!G$21</f>
        <v>0</v>
      </c>
      <c r="AB152" s="1201">
        <f>+K152*tab!H$21</f>
        <v>0</v>
      </c>
      <c r="AC152" s="1201">
        <f>+L152*tab!$D$21</f>
        <v>0</v>
      </c>
      <c r="AD152" s="1201">
        <f>+M152*tab!$D$21</f>
        <v>0</v>
      </c>
      <c r="AE152" s="91"/>
      <c r="AF152" s="1016"/>
      <c r="AG152" s="1004"/>
      <c r="AH152" s="1004"/>
      <c r="AI152" s="1004"/>
      <c r="AJ152" s="1004"/>
      <c r="AK152" s="1004"/>
      <c r="AL152" s="1004"/>
      <c r="AM152" s="1004"/>
      <c r="AN152" s="1004"/>
      <c r="AO152" s="1004"/>
      <c r="AP152" s="1004"/>
      <c r="AQ152" s="1004"/>
      <c r="AR152" s="1004"/>
      <c r="AS152" s="1004"/>
    </row>
    <row r="153" spans="2:56" s="112" customFormat="1" x14ac:dyDescent="0.2">
      <c r="B153" s="953"/>
      <c r="C153" s="112">
        <v>49</v>
      </c>
      <c r="D153" s="150" t="s">
        <v>564</v>
      </c>
      <c r="E153" s="971" t="s">
        <v>274</v>
      </c>
      <c r="F153" s="972" t="s">
        <v>503</v>
      </c>
      <c r="G153" s="996">
        <v>0</v>
      </c>
      <c r="H153" s="996">
        <f t="shared" si="35"/>
        <v>0</v>
      </c>
      <c r="I153" s="997">
        <f t="shared" si="36"/>
        <v>0</v>
      </c>
      <c r="J153" s="997">
        <f t="shared" si="37"/>
        <v>0</v>
      </c>
      <c r="K153" s="997">
        <f t="shared" si="38"/>
        <v>0</v>
      </c>
      <c r="L153" s="997">
        <f t="shared" si="39"/>
        <v>0</v>
      </c>
      <c r="M153" s="997">
        <f t="shared" si="39"/>
        <v>0</v>
      </c>
      <c r="N153" s="91"/>
      <c r="O153" s="67">
        <f>+G153*tab!D$20</f>
        <v>0</v>
      </c>
      <c r="P153" s="67">
        <f>+H153*tab!E$20</f>
        <v>0</v>
      </c>
      <c r="Q153" s="67">
        <f>+I153*tab!F$20</f>
        <v>0</v>
      </c>
      <c r="R153" s="67">
        <f>+J153*tab!G$20</f>
        <v>0</v>
      </c>
      <c r="S153" s="67">
        <f>+K153*tab!H$20</f>
        <v>0</v>
      </c>
      <c r="T153" s="67">
        <f>+L153*tab!I$20</f>
        <v>0</v>
      </c>
      <c r="U153" s="67">
        <f>+M153*tab!J$20</f>
        <v>0</v>
      </c>
      <c r="V153" s="91"/>
      <c r="W153" s="1274"/>
      <c r="X153" s="1201">
        <f>+G153*tab!D$21</f>
        <v>0</v>
      </c>
      <c r="Y153" s="1201">
        <f>+H153*tab!E$21</f>
        <v>0</v>
      </c>
      <c r="Z153" s="1201">
        <f>+I153*tab!F$21</f>
        <v>0</v>
      </c>
      <c r="AA153" s="1201">
        <f>+J153*tab!G$21</f>
        <v>0</v>
      </c>
      <c r="AB153" s="1201">
        <f>+K153*tab!H$21</f>
        <v>0</v>
      </c>
      <c r="AC153" s="1201">
        <f>+L153*tab!$D$21</f>
        <v>0</v>
      </c>
      <c r="AD153" s="1201">
        <f>+M153*tab!$D$21</f>
        <v>0</v>
      </c>
      <c r="AE153" s="91"/>
      <c r="AF153" s="1016"/>
      <c r="AG153" s="1004"/>
      <c r="AH153" s="1004"/>
      <c r="AI153" s="1004"/>
      <c r="AJ153" s="1004"/>
      <c r="AK153" s="1004"/>
      <c r="AL153" s="1004"/>
      <c r="AM153" s="1004"/>
      <c r="AN153" s="1004"/>
      <c r="AO153" s="1004"/>
      <c r="AP153" s="1004"/>
      <c r="AQ153" s="1004"/>
      <c r="AR153" s="1004"/>
      <c r="AS153" s="1004"/>
    </row>
    <row r="154" spans="2:56" s="112" customFormat="1" x14ac:dyDescent="0.2">
      <c r="B154" s="953"/>
      <c r="D154" s="955"/>
      <c r="E154" s="956"/>
      <c r="F154" s="972" t="s">
        <v>504</v>
      </c>
      <c r="G154" s="996">
        <v>0</v>
      </c>
      <c r="H154" s="996">
        <f t="shared" si="35"/>
        <v>0</v>
      </c>
      <c r="I154" s="997">
        <f t="shared" si="36"/>
        <v>0</v>
      </c>
      <c r="J154" s="997">
        <f t="shared" si="37"/>
        <v>0</v>
      </c>
      <c r="K154" s="997">
        <f t="shared" si="38"/>
        <v>0</v>
      </c>
      <c r="L154" s="997">
        <f t="shared" si="39"/>
        <v>0</v>
      </c>
      <c r="M154" s="997">
        <f t="shared" si="39"/>
        <v>0</v>
      </c>
      <c r="N154" s="91"/>
      <c r="O154" s="67">
        <f>+G154*tab!D$20</f>
        <v>0</v>
      </c>
      <c r="P154" s="67">
        <f>+H154*tab!E$20</f>
        <v>0</v>
      </c>
      <c r="Q154" s="67">
        <f>+I154*tab!F$20</f>
        <v>0</v>
      </c>
      <c r="R154" s="67">
        <f>+J154*tab!G$20</f>
        <v>0</v>
      </c>
      <c r="S154" s="67">
        <f>+K154*tab!H$20</f>
        <v>0</v>
      </c>
      <c r="T154" s="67">
        <f>+L154*tab!I$20</f>
        <v>0</v>
      </c>
      <c r="U154" s="67">
        <f>+M154*tab!J$20</f>
        <v>0</v>
      </c>
      <c r="V154" s="91"/>
      <c r="W154" s="1274"/>
      <c r="X154" s="1201">
        <f>+G154*tab!D$21</f>
        <v>0</v>
      </c>
      <c r="Y154" s="1201">
        <f>+H154*tab!E$21</f>
        <v>0</v>
      </c>
      <c r="Z154" s="1201">
        <f>+I154*tab!F$21</f>
        <v>0</v>
      </c>
      <c r="AA154" s="1201">
        <f>+J154*tab!G$21</f>
        <v>0</v>
      </c>
      <c r="AB154" s="1201">
        <f>+K154*tab!H$21</f>
        <v>0</v>
      </c>
      <c r="AC154" s="1201">
        <f>+L154*tab!$D$21</f>
        <v>0</v>
      </c>
      <c r="AD154" s="1201">
        <f>+M154*tab!$D$21</f>
        <v>0</v>
      </c>
      <c r="AE154" s="91"/>
      <c r="AF154" s="1016"/>
      <c r="AG154" s="1004"/>
      <c r="AH154" s="1004"/>
      <c r="AI154" s="1004"/>
      <c r="AJ154" s="1004"/>
      <c r="AK154" s="1004"/>
      <c r="AL154" s="1004"/>
      <c r="AM154" s="1004"/>
      <c r="AN154" s="1004"/>
      <c r="AO154" s="1004"/>
      <c r="AP154" s="1004"/>
      <c r="AQ154" s="1004"/>
      <c r="AR154" s="1004"/>
      <c r="AS154" s="1004"/>
    </row>
    <row r="155" spans="2:56" s="112" customFormat="1" x14ac:dyDescent="0.2">
      <c r="B155" s="953"/>
      <c r="C155" s="112">
        <v>50</v>
      </c>
      <c r="D155" s="150" t="s">
        <v>565</v>
      </c>
      <c r="E155" s="971" t="s">
        <v>274</v>
      </c>
      <c r="F155" s="972" t="s">
        <v>503</v>
      </c>
      <c r="G155" s="996">
        <v>0</v>
      </c>
      <c r="H155" s="996">
        <f t="shared" si="35"/>
        <v>0</v>
      </c>
      <c r="I155" s="997">
        <f t="shared" si="36"/>
        <v>0</v>
      </c>
      <c r="J155" s="997">
        <f t="shared" si="37"/>
        <v>0</v>
      </c>
      <c r="K155" s="997">
        <f t="shared" si="38"/>
        <v>0</v>
      </c>
      <c r="L155" s="997">
        <f t="shared" si="39"/>
        <v>0</v>
      </c>
      <c r="M155" s="997">
        <f t="shared" si="39"/>
        <v>0</v>
      </c>
      <c r="N155" s="91"/>
      <c r="O155" s="67">
        <f>+G155*tab!D$20</f>
        <v>0</v>
      </c>
      <c r="P155" s="67">
        <f>+H155*tab!E$20</f>
        <v>0</v>
      </c>
      <c r="Q155" s="67">
        <f>+I155*tab!F$20</f>
        <v>0</v>
      </c>
      <c r="R155" s="67">
        <f>+J155*tab!G$20</f>
        <v>0</v>
      </c>
      <c r="S155" s="67">
        <f>+K155*tab!H$20</f>
        <v>0</v>
      </c>
      <c r="T155" s="67">
        <f>+L155*tab!I$20</f>
        <v>0</v>
      </c>
      <c r="U155" s="67">
        <f>+M155*tab!J$20</f>
        <v>0</v>
      </c>
      <c r="V155" s="91"/>
      <c r="W155" s="1274"/>
      <c r="X155" s="1201">
        <f>+G155*tab!D$21</f>
        <v>0</v>
      </c>
      <c r="Y155" s="1201">
        <f>+H155*tab!E$21</f>
        <v>0</v>
      </c>
      <c r="Z155" s="1201">
        <f>+I155*tab!F$21</f>
        <v>0</v>
      </c>
      <c r="AA155" s="1201">
        <f>+J155*tab!G$21</f>
        <v>0</v>
      </c>
      <c r="AB155" s="1201">
        <f>+K155*tab!H$21</f>
        <v>0</v>
      </c>
      <c r="AC155" s="1201">
        <f>+L155*tab!$D$21</f>
        <v>0</v>
      </c>
      <c r="AD155" s="1201">
        <f>+M155*tab!$D$21</f>
        <v>0</v>
      </c>
      <c r="AE155" s="91"/>
      <c r="AF155" s="1016"/>
      <c r="AG155" s="1004"/>
      <c r="AH155" s="1004"/>
      <c r="AI155" s="1004"/>
      <c r="AJ155" s="1004"/>
      <c r="AK155" s="1004"/>
      <c r="AL155" s="1004"/>
      <c r="AM155" s="1004"/>
      <c r="AN155" s="1004"/>
      <c r="AO155" s="1004"/>
      <c r="AP155" s="1004"/>
      <c r="AQ155" s="1004"/>
      <c r="AR155" s="1004"/>
      <c r="AS155" s="1004"/>
    </row>
    <row r="156" spans="2:56" s="112" customFormat="1" x14ac:dyDescent="0.2">
      <c r="B156" s="953"/>
      <c r="C156" s="110"/>
      <c r="D156" s="955"/>
      <c r="E156" s="956"/>
      <c r="F156" s="972" t="s">
        <v>504</v>
      </c>
      <c r="G156" s="996">
        <v>0</v>
      </c>
      <c r="H156" s="996">
        <f t="shared" si="35"/>
        <v>0</v>
      </c>
      <c r="I156" s="997">
        <f t="shared" si="36"/>
        <v>0</v>
      </c>
      <c r="J156" s="997">
        <f t="shared" si="37"/>
        <v>0</v>
      </c>
      <c r="K156" s="997">
        <f t="shared" si="38"/>
        <v>0</v>
      </c>
      <c r="L156" s="997">
        <f t="shared" si="39"/>
        <v>0</v>
      </c>
      <c r="M156" s="997">
        <f t="shared" si="39"/>
        <v>0</v>
      </c>
      <c r="N156" s="91"/>
      <c r="O156" s="67">
        <f>+G156*tab!D$20</f>
        <v>0</v>
      </c>
      <c r="P156" s="67">
        <f>+H156*tab!E$20</f>
        <v>0</v>
      </c>
      <c r="Q156" s="67">
        <f>+I156*tab!F$20</f>
        <v>0</v>
      </c>
      <c r="R156" s="67">
        <f>+J156*tab!G$20</f>
        <v>0</v>
      </c>
      <c r="S156" s="67">
        <f>+K156*tab!H$20</f>
        <v>0</v>
      </c>
      <c r="T156" s="67">
        <f>+L156*tab!I$20</f>
        <v>0</v>
      </c>
      <c r="U156" s="67">
        <f>+M156*tab!J$20</f>
        <v>0</v>
      </c>
      <c r="V156" s="91"/>
      <c r="W156" s="1274"/>
      <c r="X156" s="1201">
        <f>+G156*tab!D$21</f>
        <v>0</v>
      </c>
      <c r="Y156" s="1201">
        <f>+H156*tab!E$21</f>
        <v>0</v>
      </c>
      <c r="Z156" s="1201">
        <f>+I156*tab!F$21</f>
        <v>0</v>
      </c>
      <c r="AA156" s="1201">
        <f>+J156*tab!G$21</f>
        <v>0</v>
      </c>
      <c r="AB156" s="1201">
        <f>+K156*tab!H$21</f>
        <v>0</v>
      </c>
      <c r="AC156" s="1201">
        <f>+L156*tab!$D$21</f>
        <v>0</v>
      </c>
      <c r="AD156" s="1201">
        <f>+M156*tab!$D$21</f>
        <v>0</v>
      </c>
      <c r="AE156" s="91"/>
      <c r="AF156" s="1016"/>
      <c r="AG156" s="1004"/>
      <c r="AH156" s="1004"/>
      <c r="AI156" s="1004"/>
      <c r="AJ156" s="1004"/>
      <c r="AK156" s="1004"/>
      <c r="AL156" s="1004"/>
      <c r="AM156" s="1004"/>
      <c r="AN156" s="1004"/>
      <c r="AO156" s="1004"/>
      <c r="AP156" s="1004"/>
      <c r="AQ156" s="1004"/>
      <c r="AR156" s="1004"/>
      <c r="AS156" s="1004"/>
    </row>
    <row r="157" spans="2:56" s="112" customFormat="1" x14ac:dyDescent="0.2">
      <c r="B157" s="953"/>
      <c r="C157" s="942"/>
      <c r="D157" s="942"/>
      <c r="E157" s="683"/>
      <c r="F157" s="683"/>
      <c r="G157" s="792"/>
      <c r="H157" s="792"/>
      <c r="I157" s="792"/>
      <c r="J157" s="792"/>
      <c r="K157" s="792"/>
      <c r="L157" s="792"/>
      <c r="M157" s="792"/>
      <c r="N157" s="792"/>
      <c r="O157" s="943"/>
      <c r="P157" s="943"/>
      <c r="Q157" s="943"/>
      <c r="R157" s="943"/>
      <c r="S157" s="943"/>
      <c r="T157" s="943"/>
      <c r="U157" s="943"/>
      <c r="V157" s="792"/>
      <c r="W157" s="1274"/>
      <c r="X157" s="943"/>
      <c r="Y157" s="943"/>
      <c r="Z157" s="943"/>
      <c r="AA157" s="943"/>
      <c r="AB157" s="943"/>
      <c r="AC157" s="943"/>
      <c r="AD157" s="943"/>
      <c r="AE157" s="792"/>
      <c r="AF157" s="1016"/>
      <c r="AG157" s="1004"/>
      <c r="AH157" s="1004"/>
      <c r="AI157" s="1004"/>
      <c r="AJ157" s="1004"/>
      <c r="AK157" s="1004"/>
      <c r="AL157" s="1004"/>
      <c r="AM157" s="1004"/>
      <c r="AN157" s="1004"/>
      <c r="AO157" s="1004"/>
      <c r="AP157" s="1004"/>
      <c r="AQ157" s="1004"/>
      <c r="AR157" s="1004"/>
      <c r="AS157" s="1004"/>
    </row>
    <row r="158" spans="2:56" s="117" customFormat="1" x14ac:dyDescent="0.2">
      <c r="B158" s="953"/>
      <c r="C158" s="835" t="s">
        <v>598</v>
      </c>
      <c r="D158" s="939"/>
      <c r="E158" s="940"/>
      <c r="F158" s="940"/>
      <c r="G158" s="1000">
        <f t="shared" ref="G158:L158" si="40">SUM(G57:G156)</f>
        <v>773</v>
      </c>
      <c r="H158" s="1000">
        <f t="shared" si="40"/>
        <v>450</v>
      </c>
      <c r="I158" s="1000">
        <f t="shared" si="40"/>
        <v>456</v>
      </c>
      <c r="J158" s="1000">
        <f t="shared" si="40"/>
        <v>456</v>
      </c>
      <c r="K158" s="1000">
        <f t="shared" si="40"/>
        <v>456</v>
      </c>
      <c r="L158" s="1000">
        <f t="shared" si="40"/>
        <v>456</v>
      </c>
      <c r="M158" s="1000">
        <f>SUM(M57:M156)</f>
        <v>456</v>
      </c>
      <c r="N158" s="941"/>
      <c r="O158" s="994">
        <f t="shared" ref="O158:T158" si="41">ROUND(SUM(O57:O156),0)</f>
        <v>3447108</v>
      </c>
      <c r="P158" s="994">
        <f t="shared" si="41"/>
        <v>2006726</v>
      </c>
      <c r="Q158" s="994">
        <f t="shared" si="41"/>
        <v>2135361</v>
      </c>
      <c r="R158" s="994">
        <f t="shared" si="41"/>
        <v>2195581</v>
      </c>
      <c r="S158" s="994">
        <f t="shared" si="41"/>
        <v>2195581</v>
      </c>
      <c r="T158" s="994">
        <f t="shared" si="41"/>
        <v>2195581</v>
      </c>
      <c r="U158" s="994">
        <f>ROUND(SUM(U57:U156),0)</f>
        <v>2195581</v>
      </c>
      <c r="V158" s="941"/>
      <c r="W158" s="1275"/>
      <c r="X158" s="994">
        <f t="shared" ref="X158:AC158" si="42">ROUND(SUM(X57:X156),0)</f>
        <v>140292</v>
      </c>
      <c r="Y158" s="994">
        <f t="shared" si="42"/>
        <v>81671</v>
      </c>
      <c r="Z158" s="994">
        <f t="shared" si="42"/>
        <v>84862</v>
      </c>
      <c r="AA158" s="994">
        <f t="shared" si="42"/>
        <v>86822</v>
      </c>
      <c r="AB158" s="994">
        <f t="shared" si="42"/>
        <v>86822</v>
      </c>
      <c r="AC158" s="994">
        <f t="shared" si="42"/>
        <v>82759</v>
      </c>
      <c r="AD158" s="994">
        <f>ROUND(SUM(AD57:AD156),0)</f>
        <v>82759</v>
      </c>
      <c r="AE158" s="941"/>
      <c r="AF158" s="1017"/>
      <c r="AG158" s="1004"/>
      <c r="AH158" s="1004"/>
      <c r="AI158" s="1004"/>
      <c r="AJ158" s="1004"/>
      <c r="AK158" s="1004"/>
      <c r="AL158" s="1004"/>
      <c r="AM158" s="1004"/>
      <c r="AN158" s="1004"/>
      <c r="AO158" s="1004"/>
      <c r="AP158" s="1004"/>
      <c r="AQ158" s="1004"/>
      <c r="AR158" s="1004"/>
      <c r="AS158" s="1004"/>
    </row>
    <row r="159" spans="2:56" x14ac:dyDescent="0.2">
      <c r="B159" s="953"/>
      <c r="C159" s="942"/>
      <c r="D159" s="942"/>
      <c r="E159" s="683"/>
      <c r="F159" s="683"/>
      <c r="G159" s="792"/>
      <c r="H159" s="792"/>
      <c r="I159" s="792"/>
      <c r="J159" s="792"/>
      <c r="K159" s="792"/>
      <c r="L159" s="792"/>
      <c r="M159" s="792"/>
      <c r="N159" s="792"/>
      <c r="O159" s="682"/>
      <c r="P159" s="682"/>
      <c r="Q159" s="682"/>
      <c r="R159" s="682"/>
      <c r="S159" s="682"/>
      <c r="T159" s="682"/>
      <c r="U159" s="682"/>
      <c r="V159" s="792"/>
      <c r="W159" s="1262"/>
      <c r="X159" s="682"/>
      <c r="Y159" s="682"/>
      <c r="Z159" s="682"/>
      <c r="AA159" s="682"/>
      <c r="AB159" s="682"/>
      <c r="AC159" s="682"/>
      <c r="AD159" s="682"/>
      <c r="AE159" s="792"/>
      <c r="AF159" s="847"/>
      <c r="AG159" s="1004"/>
      <c r="AT159" s="109"/>
      <c r="AU159" s="109"/>
      <c r="AV159" s="109"/>
      <c r="AW159" s="109"/>
      <c r="AX159" s="109"/>
      <c r="AY159" s="109"/>
      <c r="AZ159" s="109"/>
      <c r="BA159" s="109"/>
      <c r="BB159" s="109"/>
      <c r="BC159" s="109"/>
      <c r="BD159" s="109"/>
    </row>
    <row r="160" spans="2:56" x14ac:dyDescent="0.2">
      <c r="B160" s="883"/>
      <c r="C160" s="120"/>
      <c r="D160" s="120"/>
      <c r="E160" s="121"/>
      <c r="F160" s="121"/>
      <c r="G160" s="69"/>
      <c r="H160" s="69"/>
      <c r="I160" s="69"/>
      <c r="J160" s="69"/>
      <c r="K160" s="69"/>
      <c r="L160" s="69"/>
      <c r="M160" s="69"/>
      <c r="N160" s="69"/>
      <c r="O160" s="76"/>
      <c r="P160" s="76"/>
      <c r="Q160" s="76"/>
      <c r="R160" s="76"/>
      <c r="S160" s="76"/>
      <c r="T160" s="76"/>
      <c r="U160" s="76"/>
      <c r="V160" s="69"/>
      <c r="W160" s="846"/>
      <c r="X160" s="76"/>
      <c r="Y160" s="76"/>
      <c r="Z160" s="76"/>
      <c r="AA160" s="76"/>
      <c r="AB160" s="76"/>
      <c r="AC160" s="76"/>
      <c r="AD160" s="76"/>
      <c r="AE160" s="69"/>
      <c r="AF160" s="847"/>
      <c r="AG160" s="1004"/>
      <c r="AT160" s="109"/>
      <c r="AU160" s="109"/>
      <c r="AV160" s="109"/>
      <c r="AW160" s="109"/>
      <c r="AX160" s="109"/>
      <c r="AY160" s="109"/>
      <c r="AZ160" s="109"/>
      <c r="BA160" s="109"/>
      <c r="BB160" s="109"/>
      <c r="BC160" s="109"/>
      <c r="BD160" s="109"/>
    </row>
    <row r="161" spans="2:64" x14ac:dyDescent="0.2">
      <c r="B161" s="1267"/>
      <c r="C161" s="973"/>
      <c r="D161" s="973"/>
      <c r="E161" s="974"/>
      <c r="F161" s="974"/>
      <c r="G161" s="679"/>
      <c r="H161" s="679"/>
      <c r="I161" s="679"/>
      <c r="J161" s="679"/>
      <c r="K161" s="679"/>
      <c r="L161" s="679"/>
      <c r="M161" s="679"/>
      <c r="N161" s="679"/>
      <c r="O161" s="678"/>
      <c r="P161" s="678"/>
      <c r="Q161" s="678"/>
      <c r="R161" s="678"/>
      <c r="S161" s="678"/>
      <c r="T161" s="678"/>
      <c r="U161" s="678"/>
      <c r="V161" s="679"/>
      <c r="W161" s="1276"/>
      <c r="X161" s="678"/>
      <c r="Y161" s="678"/>
      <c r="Z161" s="678"/>
      <c r="AA161" s="678"/>
      <c r="AB161" s="678"/>
      <c r="AC161" s="678"/>
      <c r="AD161" s="678"/>
      <c r="AE161" s="679"/>
      <c r="AF161" s="985"/>
      <c r="AG161" s="1004"/>
      <c r="AT161" s="109"/>
      <c r="AU161" s="109"/>
      <c r="AV161" s="109"/>
      <c r="AW161" s="109"/>
      <c r="AX161" s="109"/>
      <c r="AY161" s="109"/>
      <c r="AZ161" s="109"/>
      <c r="BA161" s="109"/>
      <c r="BB161" s="109"/>
      <c r="BC161" s="109"/>
      <c r="BD161" s="109"/>
    </row>
    <row r="163" spans="2:64" s="682" customFormat="1" x14ac:dyDescent="0.2">
      <c r="B163" s="1263"/>
      <c r="C163" s="1263"/>
      <c r="D163" s="1263"/>
      <c r="E163" s="1263"/>
      <c r="F163" s="1263"/>
      <c r="G163" s="1263"/>
      <c r="H163" s="1263"/>
      <c r="I163" s="1263"/>
      <c r="J163" s="1263"/>
      <c r="K163" s="1263"/>
      <c r="L163" s="1263"/>
      <c r="M163" s="1263"/>
      <c r="N163" s="1263"/>
      <c r="O163" s="1263"/>
      <c r="P163" s="1263"/>
      <c r="Q163" s="1263"/>
      <c r="R163" s="1263"/>
      <c r="S163" s="1263"/>
      <c r="T163" s="1263"/>
      <c r="U163" s="1263"/>
      <c r="V163" s="1263"/>
      <c r="W163" s="1263"/>
      <c r="X163" s="792"/>
      <c r="Y163" s="792"/>
      <c r="Z163" s="792"/>
      <c r="AG163" s="792"/>
      <c r="AH163" s="1004"/>
      <c r="AI163" s="1004"/>
      <c r="AJ163" s="1004"/>
      <c r="AK163" s="1004"/>
      <c r="AL163" s="1004"/>
      <c r="AM163" s="1004"/>
      <c r="AN163" s="1004"/>
      <c r="AO163" s="1004"/>
      <c r="AP163" s="1004"/>
      <c r="AQ163" s="1004"/>
      <c r="AR163" s="1004"/>
      <c r="AS163" s="1004"/>
      <c r="AT163" s="1004"/>
      <c r="AU163" s="1004"/>
      <c r="AV163" s="1004"/>
      <c r="AW163" s="1004"/>
      <c r="AX163" s="1004"/>
      <c r="AY163" s="1004"/>
      <c r="AZ163" s="1004"/>
      <c r="BA163" s="1004"/>
      <c r="BB163" s="1004"/>
      <c r="BC163" s="1004"/>
      <c r="BD163" s="1004"/>
    </row>
    <row r="164" spans="2:64" s="1261" customFormat="1" x14ac:dyDescent="0.2">
      <c r="B164" s="1263"/>
      <c r="C164" s="1263"/>
      <c r="D164" s="1263"/>
      <c r="E164" s="1263"/>
      <c r="F164" s="1263"/>
      <c r="G164" s="1263"/>
      <c r="H164" s="1263"/>
      <c r="I164" s="1263"/>
      <c r="J164" s="1263"/>
      <c r="K164" s="1263"/>
      <c r="L164" s="1263"/>
      <c r="M164" s="1263"/>
      <c r="N164" s="1263"/>
      <c r="O164" s="1263"/>
      <c r="P164" s="1263"/>
      <c r="Q164" s="1263"/>
      <c r="R164" s="1263"/>
      <c r="S164" s="1263"/>
      <c r="T164" s="1263"/>
      <c r="U164" s="1263"/>
      <c r="V164" s="1263"/>
      <c r="W164" s="1263"/>
      <c r="X164" s="1019"/>
      <c r="Y164" s="1019"/>
      <c r="Z164" s="1019"/>
      <c r="AG164" s="1019"/>
      <c r="AH164" s="1004"/>
      <c r="AI164" s="1004"/>
      <c r="AJ164" s="1004"/>
      <c r="AK164" s="1004"/>
      <c r="AL164" s="1004"/>
      <c r="AM164" s="1004"/>
      <c r="AN164" s="1004"/>
      <c r="AO164" s="1004"/>
      <c r="AP164" s="1004"/>
      <c r="AQ164" s="1004"/>
      <c r="AR164" s="1004"/>
      <c r="AS164" s="1004"/>
      <c r="AT164" s="1004"/>
      <c r="AU164" s="1004"/>
      <c r="AV164" s="1004"/>
      <c r="AW164" s="1004"/>
      <c r="AX164" s="1004"/>
      <c r="AY164" s="1004"/>
      <c r="AZ164" s="1004"/>
      <c r="BA164" s="1004"/>
      <c r="BB164" s="1004"/>
      <c r="BC164" s="1004"/>
      <c r="BD164" s="1004"/>
    </row>
    <row r="165" spans="2:64" s="682" customFormat="1" x14ac:dyDescent="0.2">
      <c r="B165" s="1263"/>
      <c r="C165" s="1263"/>
      <c r="D165" s="1263"/>
      <c r="E165" s="1263"/>
      <c r="F165" s="1263"/>
      <c r="G165" s="1263"/>
      <c r="H165" s="1263"/>
      <c r="I165" s="1263"/>
      <c r="J165" s="1263"/>
      <c r="K165" s="1263"/>
      <c r="L165" s="1263"/>
      <c r="M165" s="1263"/>
      <c r="N165" s="1263"/>
      <c r="O165" s="1263"/>
      <c r="P165" s="1263"/>
      <c r="Q165" s="1263"/>
      <c r="R165" s="1263"/>
      <c r="S165" s="1263"/>
      <c r="T165" s="1263"/>
      <c r="U165" s="1263"/>
      <c r="V165" s="1263"/>
      <c r="W165" s="1263"/>
      <c r="X165" s="792"/>
      <c r="Y165" s="792"/>
      <c r="Z165" s="792"/>
      <c r="AG165" s="792"/>
      <c r="AH165" s="792"/>
      <c r="AI165" s="792"/>
      <c r="AJ165" s="792"/>
      <c r="AK165" s="792"/>
      <c r="AL165" s="792"/>
      <c r="AM165" s="792"/>
      <c r="AN165" s="792"/>
      <c r="AO165" s="792"/>
      <c r="AP165" s="1004"/>
      <c r="AQ165" s="1004"/>
      <c r="AR165" s="1004"/>
      <c r="AS165" s="1004"/>
      <c r="AT165" s="1004"/>
      <c r="AU165" s="1004"/>
      <c r="AV165" s="1004"/>
      <c r="AW165" s="1004"/>
      <c r="AX165" s="1004"/>
      <c r="AY165" s="1004"/>
      <c r="AZ165" s="1004"/>
      <c r="BA165" s="1004"/>
      <c r="BB165" s="1004"/>
      <c r="BC165" s="1004"/>
      <c r="BD165" s="1004"/>
      <c r="BE165" s="1004"/>
      <c r="BF165" s="1004"/>
      <c r="BG165" s="1004"/>
      <c r="BH165" s="1004"/>
      <c r="BI165" s="1004"/>
      <c r="BJ165" s="1004"/>
      <c r="BK165" s="1004"/>
      <c r="BL165" s="1004"/>
    </row>
    <row r="166" spans="2:64" s="682" customFormat="1" x14ac:dyDescent="0.2">
      <c r="B166" s="1263"/>
      <c r="C166" s="1263"/>
      <c r="D166" s="1263"/>
      <c r="E166" s="1263"/>
      <c r="F166" s="1263"/>
      <c r="G166" s="1263"/>
      <c r="H166" s="1263"/>
      <c r="I166" s="1263"/>
      <c r="J166" s="1263"/>
      <c r="K166" s="1263"/>
      <c r="L166" s="1263"/>
      <c r="M166" s="1263"/>
      <c r="N166" s="1263"/>
      <c r="O166" s="1263"/>
      <c r="P166" s="1263"/>
      <c r="Q166" s="1263"/>
      <c r="R166" s="1263"/>
      <c r="S166" s="1263"/>
      <c r="T166" s="1263"/>
      <c r="U166" s="1263"/>
      <c r="V166" s="1263"/>
      <c r="W166" s="1263"/>
      <c r="X166" s="792"/>
      <c r="Y166" s="792"/>
      <c r="Z166" s="792"/>
      <c r="AG166" s="792"/>
      <c r="AH166" s="792"/>
      <c r="AI166" s="792"/>
      <c r="AJ166" s="792"/>
      <c r="AK166" s="792"/>
      <c r="AL166" s="792"/>
      <c r="AM166" s="792"/>
      <c r="AN166" s="792"/>
      <c r="AO166" s="792"/>
      <c r="AP166" s="1004"/>
      <c r="AQ166" s="1004"/>
      <c r="AR166" s="1004"/>
      <c r="AS166" s="1004"/>
      <c r="AT166" s="1004"/>
      <c r="AU166" s="1004"/>
      <c r="AV166" s="1004"/>
      <c r="AW166" s="1004"/>
      <c r="AX166" s="1004"/>
      <c r="AY166" s="1004"/>
      <c r="AZ166" s="1004"/>
      <c r="BA166" s="1004"/>
      <c r="BB166" s="1004"/>
      <c r="BC166" s="1004"/>
      <c r="BD166" s="1004"/>
      <c r="BE166" s="1004"/>
      <c r="BF166" s="1004"/>
      <c r="BG166" s="1004"/>
      <c r="BH166" s="1004"/>
      <c r="BI166" s="1004"/>
      <c r="BJ166" s="1004"/>
      <c r="BK166" s="1004"/>
      <c r="BL166" s="1004"/>
    </row>
    <row r="167" spans="2:64" s="682" customFormat="1" x14ac:dyDescent="0.2">
      <c r="B167" s="1263"/>
      <c r="C167" s="1263"/>
      <c r="D167" s="1263"/>
      <c r="E167" s="1263"/>
      <c r="F167" s="1263"/>
      <c r="G167" s="1263"/>
      <c r="H167" s="1263"/>
      <c r="I167" s="1263"/>
      <c r="J167" s="1263"/>
      <c r="K167" s="1263"/>
      <c r="L167" s="1263"/>
      <c r="M167" s="1263"/>
      <c r="N167" s="1263"/>
      <c r="O167" s="1263"/>
      <c r="P167" s="1263"/>
      <c r="Q167" s="1263"/>
      <c r="R167" s="1263"/>
      <c r="S167" s="1263"/>
      <c r="T167" s="1263"/>
      <c r="U167" s="1263"/>
      <c r="V167" s="1263"/>
      <c r="W167" s="1263"/>
      <c r="X167" s="792"/>
      <c r="Y167" s="792"/>
      <c r="Z167" s="792"/>
      <c r="AG167" s="792"/>
      <c r="AH167" s="792"/>
      <c r="AI167" s="792"/>
      <c r="AJ167" s="792"/>
      <c r="AK167" s="792"/>
      <c r="AL167" s="792"/>
      <c r="AM167" s="792"/>
      <c r="AN167" s="792"/>
      <c r="AO167" s="792"/>
      <c r="AP167" s="1004"/>
      <c r="AQ167" s="1004"/>
      <c r="AR167" s="1004"/>
      <c r="AS167" s="1004"/>
      <c r="AT167" s="1004"/>
      <c r="AU167" s="1004"/>
      <c r="AV167" s="1004"/>
      <c r="AW167" s="1004"/>
      <c r="AX167" s="1004"/>
      <c r="AY167" s="1004"/>
      <c r="AZ167" s="1004"/>
      <c r="BA167" s="1004"/>
      <c r="BB167" s="1004"/>
      <c r="BC167" s="1004"/>
      <c r="BD167" s="1004"/>
      <c r="BE167" s="1004"/>
      <c r="BF167" s="1004"/>
      <c r="BG167" s="1004"/>
      <c r="BH167" s="1004"/>
      <c r="BI167" s="1004"/>
      <c r="BJ167" s="1004"/>
      <c r="BK167" s="1004"/>
      <c r="BL167" s="1004"/>
    </row>
    <row r="168" spans="2:64" s="682" customFormat="1" x14ac:dyDescent="0.2">
      <c r="B168" s="1263"/>
      <c r="C168" s="1263"/>
      <c r="D168" s="1263"/>
      <c r="E168" s="1263"/>
      <c r="F168" s="1263"/>
      <c r="G168" s="1263"/>
      <c r="H168" s="1263"/>
      <c r="I168" s="1263"/>
      <c r="J168" s="1263"/>
      <c r="K168" s="1263"/>
      <c r="L168" s="1263"/>
      <c r="M168" s="1263"/>
      <c r="N168" s="1263"/>
      <c r="O168" s="1263"/>
      <c r="P168" s="1263"/>
      <c r="Q168" s="1263"/>
      <c r="R168" s="1263"/>
      <c r="S168" s="1263"/>
      <c r="T168" s="1263"/>
      <c r="U168" s="1263"/>
      <c r="V168" s="1263"/>
      <c r="W168" s="1263"/>
      <c r="X168" s="792"/>
      <c r="Y168" s="792"/>
      <c r="Z168" s="792"/>
      <c r="AG168" s="792"/>
      <c r="AH168" s="792"/>
      <c r="AI168" s="792"/>
      <c r="AJ168" s="792"/>
      <c r="AK168" s="792"/>
      <c r="AL168" s="792"/>
      <c r="AM168" s="792"/>
      <c r="AN168" s="792"/>
      <c r="AO168" s="792"/>
      <c r="AP168" s="1004"/>
      <c r="AQ168" s="1004"/>
      <c r="AR168" s="1004"/>
      <c r="AS168" s="1004"/>
      <c r="AT168" s="1004"/>
      <c r="AU168" s="1004"/>
      <c r="AV168" s="1004"/>
      <c r="AW168" s="1004"/>
      <c r="AX168" s="1004"/>
      <c r="AY168" s="1004"/>
      <c r="AZ168" s="1004"/>
      <c r="BA168" s="1004"/>
      <c r="BB168" s="1004"/>
      <c r="BC168" s="1004"/>
      <c r="BD168" s="1004"/>
      <c r="BE168" s="1004"/>
      <c r="BF168" s="1004"/>
      <c r="BG168" s="1004"/>
      <c r="BH168" s="1004"/>
      <c r="BI168" s="1004"/>
      <c r="BJ168" s="1004"/>
      <c r="BK168" s="1004"/>
      <c r="BL168" s="1004"/>
    </row>
    <row r="169" spans="2:64" s="682" customFormat="1" x14ac:dyDescent="0.2">
      <c r="B169" s="1263"/>
      <c r="C169" s="1263"/>
      <c r="D169" s="1263"/>
      <c r="E169" s="1263"/>
      <c r="F169" s="1263"/>
      <c r="G169" s="1263"/>
      <c r="H169" s="1263"/>
      <c r="I169" s="1263"/>
      <c r="J169" s="1263"/>
      <c r="K169" s="1263"/>
      <c r="L169" s="1263"/>
      <c r="M169" s="1263"/>
      <c r="N169" s="1263"/>
      <c r="O169" s="1263"/>
      <c r="P169" s="1263"/>
      <c r="Q169" s="1263"/>
      <c r="R169" s="1263"/>
      <c r="S169" s="1263"/>
      <c r="T169" s="1263"/>
      <c r="U169" s="1263"/>
      <c r="V169" s="1263"/>
      <c r="W169" s="1263"/>
      <c r="X169" s="792"/>
      <c r="Y169" s="792"/>
      <c r="Z169" s="792"/>
      <c r="AG169" s="792"/>
      <c r="AH169" s="792"/>
      <c r="AI169" s="792"/>
      <c r="AJ169" s="792"/>
      <c r="AK169" s="792"/>
      <c r="AL169" s="792"/>
      <c r="AM169" s="792"/>
      <c r="AN169" s="792"/>
      <c r="AO169" s="792"/>
      <c r="AP169" s="1004"/>
      <c r="AQ169" s="1004"/>
      <c r="AR169" s="1004"/>
      <c r="AS169" s="1004"/>
      <c r="AT169" s="1004"/>
      <c r="AU169" s="1004"/>
      <c r="AV169" s="1004"/>
      <c r="AW169" s="1004"/>
      <c r="AX169" s="1004"/>
      <c r="AY169" s="1004"/>
      <c r="AZ169" s="1004"/>
      <c r="BA169" s="1004"/>
      <c r="BB169" s="1004"/>
      <c r="BC169" s="1004"/>
      <c r="BD169" s="1004"/>
      <c r="BE169" s="1004"/>
      <c r="BF169" s="1004"/>
      <c r="BG169" s="1004"/>
      <c r="BH169" s="1004"/>
      <c r="BI169" s="1004"/>
      <c r="BJ169" s="1004"/>
      <c r="BK169" s="1004"/>
      <c r="BL169" s="1004"/>
    </row>
    <row r="170" spans="2:64" s="682" customFormat="1" x14ac:dyDescent="0.2">
      <c r="B170" s="1263"/>
      <c r="C170" s="1263"/>
      <c r="D170" s="1263"/>
      <c r="E170" s="1263"/>
      <c r="F170" s="1263"/>
      <c r="G170" s="1263"/>
      <c r="H170" s="1263"/>
      <c r="I170" s="1263"/>
      <c r="J170" s="1263"/>
      <c r="K170" s="1263"/>
      <c r="L170" s="1263"/>
      <c r="M170" s="1263"/>
      <c r="N170" s="1263"/>
      <c r="O170" s="1263"/>
      <c r="P170" s="1263"/>
      <c r="Q170" s="1263"/>
      <c r="R170" s="1263"/>
      <c r="S170" s="1263"/>
      <c r="T170" s="1263"/>
      <c r="U170" s="1263"/>
      <c r="V170" s="1263"/>
      <c r="W170" s="1263"/>
      <c r="X170" s="792"/>
      <c r="Y170" s="792"/>
      <c r="Z170" s="792"/>
      <c r="AG170" s="792"/>
      <c r="AH170" s="792"/>
      <c r="AI170" s="792"/>
      <c r="AJ170" s="792"/>
      <c r="AK170" s="792"/>
      <c r="AL170" s="792"/>
      <c r="AM170" s="792"/>
      <c r="AN170" s="792"/>
      <c r="AO170" s="792"/>
      <c r="AP170" s="1004"/>
      <c r="AQ170" s="1004"/>
      <c r="AR170" s="1004"/>
      <c r="AS170" s="1004"/>
      <c r="AT170" s="1004"/>
      <c r="AU170" s="1004"/>
      <c r="AV170" s="1004"/>
      <c r="AW170" s="1004"/>
      <c r="AX170" s="1004"/>
      <c r="AY170" s="1004"/>
      <c r="AZ170" s="1004"/>
      <c r="BA170" s="1004"/>
      <c r="BB170" s="1004"/>
      <c r="BC170" s="1004"/>
      <c r="BD170" s="1004"/>
      <c r="BE170" s="1004"/>
      <c r="BF170" s="1004"/>
      <c r="BG170" s="1004"/>
      <c r="BH170" s="1004"/>
      <c r="BI170" s="1004"/>
      <c r="BJ170" s="1004"/>
      <c r="BK170" s="1004"/>
      <c r="BL170" s="1004"/>
    </row>
    <row r="171" spans="2:64" s="682" customFormat="1" x14ac:dyDescent="0.2">
      <c r="B171" s="1263"/>
      <c r="C171" s="1263"/>
      <c r="D171" s="1263"/>
      <c r="E171" s="1263"/>
      <c r="F171" s="1263"/>
      <c r="G171" s="1263"/>
      <c r="H171" s="1263"/>
      <c r="I171" s="1263"/>
      <c r="J171" s="1263"/>
      <c r="K171" s="1263"/>
      <c r="L171" s="1263"/>
      <c r="M171" s="1263"/>
      <c r="N171" s="1263"/>
      <c r="O171" s="1263"/>
      <c r="P171" s="1263"/>
      <c r="Q171" s="1263"/>
      <c r="R171" s="1263"/>
      <c r="S171" s="1263"/>
      <c r="T171" s="1263"/>
      <c r="U171" s="1263"/>
      <c r="V171" s="1263"/>
      <c r="W171" s="1263"/>
      <c r="X171" s="792"/>
      <c r="Y171" s="792"/>
      <c r="Z171" s="792"/>
      <c r="AG171" s="792"/>
      <c r="AH171" s="792"/>
      <c r="AI171" s="792"/>
      <c r="AJ171" s="792"/>
      <c r="AK171" s="792"/>
      <c r="AL171" s="792"/>
      <c r="AM171" s="792"/>
      <c r="AN171" s="792"/>
      <c r="AO171" s="792"/>
      <c r="AP171" s="1004"/>
      <c r="AQ171" s="1004"/>
      <c r="AR171" s="1004"/>
      <c r="AS171" s="1004"/>
      <c r="AT171" s="1004"/>
      <c r="AU171" s="1004"/>
      <c r="AV171" s="1004"/>
      <c r="AW171" s="1004"/>
      <c r="AX171" s="1004"/>
      <c r="AY171" s="1004"/>
      <c r="AZ171" s="1004"/>
      <c r="BA171" s="1004"/>
      <c r="BB171" s="1004"/>
      <c r="BC171" s="1004"/>
      <c r="BD171" s="1004"/>
      <c r="BE171" s="1004"/>
      <c r="BF171" s="1004"/>
      <c r="BG171" s="1004"/>
      <c r="BH171" s="1004"/>
      <c r="BI171" s="1004"/>
      <c r="BJ171" s="1004"/>
      <c r="BK171" s="1004"/>
      <c r="BL171" s="1004"/>
    </row>
    <row r="172" spans="2:64" s="682" customFormat="1" x14ac:dyDescent="0.2">
      <c r="B172" s="1263"/>
      <c r="C172" s="1263"/>
      <c r="D172" s="1263"/>
      <c r="E172" s="1263"/>
      <c r="F172" s="1263"/>
      <c r="G172" s="1263"/>
      <c r="H172" s="1263"/>
      <c r="I172" s="1263"/>
      <c r="J172" s="1263"/>
      <c r="K172" s="1263"/>
      <c r="L172" s="1263"/>
      <c r="M172" s="1263"/>
      <c r="N172" s="1263"/>
      <c r="O172" s="1263"/>
      <c r="P172" s="1263"/>
      <c r="Q172" s="1263"/>
      <c r="R172" s="1263"/>
      <c r="S172" s="1263"/>
      <c r="T172" s="1263"/>
      <c r="U172" s="1263"/>
      <c r="V172" s="1263"/>
      <c r="W172" s="1263"/>
      <c r="X172" s="792"/>
      <c r="Y172" s="792"/>
      <c r="Z172" s="792"/>
      <c r="AG172" s="792"/>
      <c r="AH172" s="792"/>
      <c r="AI172" s="792"/>
      <c r="AJ172" s="792"/>
      <c r="AK172" s="792"/>
      <c r="AL172" s="792"/>
      <c r="AM172" s="792"/>
      <c r="AN172" s="792"/>
      <c r="AO172" s="792"/>
      <c r="AP172" s="1004"/>
      <c r="AQ172" s="1004"/>
      <c r="AR172" s="1004"/>
      <c r="AS172" s="1004"/>
      <c r="AT172" s="1004"/>
      <c r="AU172" s="1004"/>
      <c r="AV172" s="1004"/>
      <c r="AW172" s="1004"/>
      <c r="AX172" s="1004"/>
      <c r="AY172" s="1004"/>
      <c r="AZ172" s="1004"/>
      <c r="BA172" s="1004"/>
      <c r="BB172" s="1004"/>
      <c r="BC172" s="1004"/>
      <c r="BD172" s="1004"/>
      <c r="BE172" s="1004"/>
      <c r="BF172" s="1004"/>
      <c r="BG172" s="1004"/>
      <c r="BH172" s="1004"/>
      <c r="BI172" s="1004"/>
      <c r="BJ172" s="1004"/>
      <c r="BK172" s="1004"/>
      <c r="BL172" s="1004"/>
    </row>
    <row r="173" spans="2:64" s="682" customFormat="1" x14ac:dyDescent="0.2">
      <c r="B173" s="1263"/>
      <c r="C173" s="1263"/>
      <c r="D173" s="1263"/>
      <c r="E173" s="1263"/>
      <c r="F173" s="1263"/>
      <c r="G173" s="1263"/>
      <c r="H173" s="1263"/>
      <c r="I173" s="1263"/>
      <c r="J173" s="1263"/>
      <c r="K173" s="1263"/>
      <c r="L173" s="1263"/>
      <c r="M173" s="1263"/>
      <c r="N173" s="1263"/>
      <c r="O173" s="1263"/>
      <c r="P173" s="1263"/>
      <c r="Q173" s="1263"/>
      <c r="R173" s="1263"/>
      <c r="S173" s="1263"/>
      <c r="T173" s="1263"/>
      <c r="U173" s="1263"/>
      <c r="V173" s="1263"/>
      <c r="W173" s="1263"/>
      <c r="X173" s="792"/>
      <c r="Y173" s="792"/>
      <c r="Z173" s="792"/>
      <c r="AG173" s="792"/>
      <c r="AH173" s="792"/>
      <c r="AI173" s="792"/>
      <c r="AJ173" s="792"/>
      <c r="AK173" s="792"/>
      <c r="AL173" s="792"/>
      <c r="AM173" s="792"/>
      <c r="AN173" s="792"/>
      <c r="AO173" s="792"/>
      <c r="AP173" s="1004"/>
      <c r="AQ173" s="1004"/>
      <c r="AR173" s="1004"/>
      <c r="AS173" s="1004"/>
      <c r="AT173" s="1004"/>
      <c r="AU173" s="1004"/>
      <c r="AV173" s="1004"/>
      <c r="AW173" s="1004"/>
      <c r="AX173" s="1004"/>
      <c r="AY173" s="1004"/>
      <c r="AZ173" s="1004"/>
      <c r="BA173" s="1004"/>
      <c r="BB173" s="1004"/>
      <c r="BC173" s="1004"/>
      <c r="BD173" s="1004"/>
      <c r="BE173" s="1004"/>
      <c r="BF173" s="1004"/>
      <c r="BG173" s="1004"/>
      <c r="BH173" s="1004"/>
      <c r="BI173" s="1004"/>
      <c r="BJ173" s="1004"/>
      <c r="BK173" s="1004"/>
      <c r="BL173" s="1004"/>
    </row>
    <row r="174" spans="2:64" s="1261" customFormat="1" x14ac:dyDescent="0.2">
      <c r="B174" s="1263"/>
      <c r="C174" s="1263"/>
      <c r="D174" s="1263"/>
      <c r="E174" s="1263"/>
      <c r="F174" s="1263"/>
      <c r="G174" s="1263"/>
      <c r="H174" s="1263"/>
      <c r="I174" s="1263"/>
      <c r="J174" s="1263"/>
      <c r="K174" s="1263"/>
      <c r="L174" s="1263"/>
      <c r="M174" s="1263"/>
      <c r="N174" s="1263"/>
      <c r="O174" s="1263"/>
      <c r="P174" s="1263"/>
      <c r="Q174" s="1263"/>
      <c r="R174" s="1263"/>
      <c r="S174" s="1263"/>
      <c r="T174" s="1263"/>
      <c r="U174" s="1263"/>
      <c r="V174" s="1263"/>
      <c r="W174" s="1263"/>
      <c r="X174" s="1019"/>
      <c r="Y174" s="1019"/>
      <c r="Z174" s="1019"/>
      <c r="AG174" s="1019"/>
      <c r="AH174" s="1019"/>
      <c r="AI174" s="1019"/>
      <c r="AJ174" s="1019"/>
      <c r="AK174" s="1019"/>
      <c r="AL174" s="1019"/>
      <c r="AM174" s="1019"/>
      <c r="AN174" s="1019"/>
      <c r="AO174" s="1019"/>
      <c r="AP174" s="1004"/>
      <c r="AQ174" s="1004"/>
      <c r="AR174" s="1004"/>
      <c r="AS174" s="1004"/>
      <c r="AT174" s="1004"/>
      <c r="AU174" s="1004"/>
      <c r="AV174" s="1004"/>
      <c r="AW174" s="1004"/>
      <c r="AX174" s="1004"/>
      <c r="AY174" s="1004"/>
      <c r="AZ174" s="1004"/>
      <c r="BA174" s="1004"/>
      <c r="BB174" s="1004"/>
      <c r="BC174" s="1004"/>
      <c r="BD174" s="1004"/>
      <c r="BE174" s="1004"/>
      <c r="BF174" s="1004"/>
      <c r="BG174" s="1004"/>
      <c r="BH174" s="1004"/>
      <c r="BI174" s="1004"/>
      <c r="BJ174" s="1004"/>
      <c r="BK174" s="1004"/>
      <c r="BL174" s="1004"/>
    </row>
    <row r="175" spans="2:64" s="682" customFormat="1" x14ac:dyDescent="0.2">
      <c r="B175" s="1263"/>
      <c r="C175" s="1263"/>
      <c r="D175" s="1263"/>
      <c r="E175" s="1263"/>
      <c r="F175" s="1263"/>
      <c r="G175" s="1263"/>
      <c r="H175" s="1263"/>
      <c r="I175" s="1263"/>
      <c r="J175" s="1263"/>
      <c r="K175" s="1263"/>
      <c r="L175" s="1263"/>
      <c r="M175" s="1263"/>
      <c r="N175" s="1263"/>
      <c r="O175" s="1263"/>
      <c r="P175" s="1263"/>
      <c r="Q175" s="1263"/>
      <c r="R175" s="1263"/>
      <c r="S175" s="1263"/>
      <c r="T175" s="1263"/>
      <c r="U175" s="1263"/>
      <c r="V175" s="1263"/>
      <c r="W175" s="1263"/>
      <c r="X175" s="792"/>
      <c r="Y175" s="792"/>
      <c r="Z175" s="792"/>
      <c r="AG175" s="792"/>
      <c r="AH175" s="792"/>
      <c r="AI175" s="792"/>
      <c r="AJ175" s="792"/>
      <c r="AK175" s="792"/>
      <c r="AL175" s="792"/>
      <c r="AM175" s="792"/>
      <c r="AN175" s="792"/>
      <c r="AO175" s="792"/>
      <c r="AP175" s="1004"/>
      <c r="AQ175" s="1004"/>
      <c r="AR175" s="1004"/>
      <c r="AS175" s="1004"/>
      <c r="AT175" s="1004"/>
      <c r="AU175" s="1004"/>
      <c r="AV175" s="1004"/>
      <c r="AW175" s="1004"/>
      <c r="AX175" s="1004"/>
      <c r="AY175" s="1004"/>
      <c r="AZ175" s="1004"/>
      <c r="BA175" s="1004"/>
      <c r="BB175" s="1004"/>
      <c r="BC175" s="1004"/>
      <c r="BD175" s="1004"/>
      <c r="BE175" s="1004"/>
      <c r="BF175" s="1004"/>
      <c r="BG175" s="1004"/>
      <c r="BH175" s="1004"/>
      <c r="BI175" s="1004"/>
      <c r="BJ175" s="1004"/>
      <c r="BK175" s="1004"/>
      <c r="BL175" s="1004"/>
    </row>
    <row r="176" spans="2:64" s="682" customFormat="1" x14ac:dyDescent="0.2">
      <c r="B176" s="1263"/>
      <c r="C176" s="1263"/>
      <c r="D176" s="1263"/>
      <c r="E176" s="1263"/>
      <c r="F176" s="1263"/>
      <c r="G176" s="1263"/>
      <c r="H176" s="1263"/>
      <c r="I176" s="1263"/>
      <c r="J176" s="1263"/>
      <c r="K176" s="1263"/>
      <c r="L176" s="1263"/>
      <c r="M176" s="1263"/>
      <c r="N176" s="1263"/>
      <c r="O176" s="1263"/>
      <c r="P176" s="1263"/>
      <c r="Q176" s="1263"/>
      <c r="R176" s="1263"/>
      <c r="S176" s="1263"/>
      <c r="T176" s="1263"/>
      <c r="U176" s="1263"/>
      <c r="V176" s="1263"/>
      <c r="W176" s="1263"/>
      <c r="X176" s="792"/>
      <c r="Y176" s="792"/>
      <c r="Z176" s="792"/>
      <c r="AG176" s="792"/>
      <c r="AH176" s="792"/>
      <c r="AI176" s="792"/>
      <c r="AJ176" s="792"/>
      <c r="AK176" s="792"/>
      <c r="AL176" s="792"/>
      <c r="AM176" s="792"/>
      <c r="AN176" s="792"/>
      <c r="AO176" s="792"/>
      <c r="AP176" s="1004"/>
      <c r="AQ176" s="1004"/>
      <c r="AR176" s="1004"/>
      <c r="AS176" s="1004"/>
      <c r="AT176" s="1004"/>
      <c r="AU176" s="1004"/>
      <c r="AV176" s="1004"/>
      <c r="AW176" s="1004"/>
      <c r="AX176" s="1004"/>
      <c r="AY176" s="1004"/>
      <c r="AZ176" s="1004"/>
      <c r="BA176" s="1004"/>
      <c r="BB176" s="1004"/>
      <c r="BC176" s="1004"/>
      <c r="BD176" s="1004"/>
      <c r="BE176" s="1004"/>
      <c r="BF176" s="1004"/>
      <c r="BG176" s="1004"/>
      <c r="BH176" s="1004"/>
      <c r="BI176" s="1004"/>
      <c r="BJ176" s="1004"/>
      <c r="BK176" s="1004"/>
      <c r="BL176" s="1004"/>
    </row>
    <row r="177" spans="2:64" s="682" customFormat="1" x14ac:dyDescent="0.2">
      <c r="B177" s="1263"/>
      <c r="C177" s="1263"/>
      <c r="D177" s="1263"/>
      <c r="E177" s="1263"/>
      <c r="F177" s="1263"/>
      <c r="G177" s="1263"/>
      <c r="H177" s="1263"/>
      <c r="I177" s="1263"/>
      <c r="J177" s="1263"/>
      <c r="K177" s="1263"/>
      <c r="L177" s="1263"/>
      <c r="M177" s="1263"/>
      <c r="N177" s="1263"/>
      <c r="O177" s="1263"/>
      <c r="P177" s="1263"/>
      <c r="Q177" s="1263"/>
      <c r="R177" s="1263"/>
      <c r="S177" s="1263"/>
      <c r="T177" s="1263"/>
      <c r="U177" s="1263"/>
      <c r="V177" s="1263"/>
      <c r="W177" s="1263"/>
      <c r="X177" s="792"/>
      <c r="Y177" s="792"/>
      <c r="Z177" s="792"/>
      <c r="AG177" s="792"/>
      <c r="AH177" s="792"/>
      <c r="AI177" s="792"/>
      <c r="AJ177" s="792"/>
      <c r="AK177" s="792"/>
      <c r="AL177" s="792"/>
      <c r="AM177" s="792"/>
      <c r="AN177" s="792"/>
      <c r="AO177" s="792"/>
      <c r="AP177" s="1004"/>
      <c r="AQ177" s="1004"/>
      <c r="AR177" s="1004"/>
      <c r="AS177" s="1004"/>
      <c r="AT177" s="1004"/>
      <c r="AU177" s="1004"/>
      <c r="AV177" s="1004"/>
      <c r="AW177" s="1004"/>
      <c r="AX177" s="1004"/>
      <c r="AY177" s="1004"/>
      <c r="AZ177" s="1004"/>
      <c r="BA177" s="1004"/>
      <c r="BB177" s="1004"/>
      <c r="BC177" s="1004"/>
      <c r="BD177" s="1004"/>
      <c r="BE177" s="1004"/>
      <c r="BF177" s="1004"/>
      <c r="BG177" s="1004"/>
      <c r="BH177" s="1004"/>
      <c r="BI177" s="1004"/>
      <c r="BJ177" s="1004"/>
      <c r="BK177" s="1004"/>
      <c r="BL177" s="1004"/>
    </row>
    <row r="178" spans="2:64" s="682" customFormat="1" x14ac:dyDescent="0.2">
      <c r="B178" s="1263"/>
      <c r="C178" s="1263"/>
      <c r="D178" s="1263"/>
      <c r="E178" s="1263"/>
      <c r="F178" s="1263"/>
      <c r="G178" s="1263"/>
      <c r="H178" s="1263"/>
      <c r="I178" s="1263"/>
      <c r="J178" s="1263"/>
      <c r="K178" s="1263"/>
      <c r="L178" s="1263"/>
      <c r="M178" s="1263"/>
      <c r="N178" s="1263"/>
      <c r="O178" s="1263"/>
      <c r="P178" s="1263"/>
      <c r="Q178" s="1263"/>
      <c r="R178" s="1263"/>
      <c r="S178" s="1263"/>
      <c r="T178" s="1263"/>
      <c r="U178" s="1263"/>
      <c r="V178" s="1263"/>
      <c r="W178" s="1263"/>
      <c r="X178" s="792"/>
      <c r="Y178" s="792"/>
      <c r="Z178" s="792"/>
      <c r="AG178" s="792"/>
      <c r="AH178" s="792"/>
      <c r="AI178" s="792"/>
      <c r="AJ178" s="792"/>
      <c r="AK178" s="792"/>
      <c r="AL178" s="792"/>
      <c r="AM178" s="792"/>
      <c r="AN178" s="792"/>
      <c r="AO178" s="792"/>
      <c r="AP178" s="1004"/>
      <c r="AQ178" s="1004"/>
      <c r="AR178" s="1004"/>
      <c r="AS178" s="1004"/>
      <c r="AT178" s="1004"/>
      <c r="AU178" s="1004"/>
      <c r="AV178" s="1004"/>
      <c r="AW178" s="1004"/>
      <c r="AX178" s="1004"/>
      <c r="AY178" s="1004"/>
      <c r="AZ178" s="1004"/>
      <c r="BA178" s="1004"/>
      <c r="BB178" s="1004"/>
      <c r="BC178" s="1004"/>
      <c r="BD178" s="1004"/>
      <c r="BE178" s="1004"/>
      <c r="BF178" s="1004"/>
      <c r="BG178" s="1004"/>
      <c r="BH178" s="1004"/>
      <c r="BI178" s="1004"/>
      <c r="BJ178" s="1004"/>
      <c r="BK178" s="1004"/>
      <c r="BL178" s="1004"/>
    </row>
    <row r="179" spans="2:64" s="1261" customFormat="1" x14ac:dyDescent="0.2">
      <c r="B179" s="1263"/>
      <c r="C179" s="1263"/>
      <c r="D179" s="1263"/>
      <c r="E179" s="1263"/>
      <c r="F179" s="1263"/>
      <c r="G179" s="1263"/>
      <c r="H179" s="1263"/>
      <c r="I179" s="1263"/>
      <c r="J179" s="1263"/>
      <c r="K179" s="1263"/>
      <c r="L179" s="1263"/>
      <c r="M179" s="1263"/>
      <c r="N179" s="1263"/>
      <c r="O179" s="1263"/>
      <c r="P179" s="1263"/>
      <c r="Q179" s="1263"/>
      <c r="R179" s="1263"/>
      <c r="S179" s="1263"/>
      <c r="T179" s="1263"/>
      <c r="U179" s="1263"/>
      <c r="V179" s="1263"/>
      <c r="W179" s="1263"/>
      <c r="X179" s="1019"/>
      <c r="Y179" s="1019"/>
      <c r="Z179" s="1019"/>
      <c r="AG179" s="1019"/>
      <c r="AH179" s="1019"/>
      <c r="AI179" s="1019"/>
      <c r="AJ179" s="1019"/>
      <c r="AK179" s="1019"/>
      <c r="AL179" s="1019"/>
      <c r="AM179" s="1019"/>
      <c r="AN179" s="1019"/>
      <c r="AO179" s="1019"/>
      <c r="AP179" s="1004"/>
      <c r="AQ179" s="1004"/>
      <c r="AR179" s="1004"/>
      <c r="AS179" s="1004"/>
      <c r="AT179" s="1004"/>
      <c r="AU179" s="1004"/>
      <c r="AV179" s="1004"/>
      <c r="AW179" s="1004"/>
      <c r="AX179" s="1004"/>
      <c r="AY179" s="1004"/>
      <c r="AZ179" s="1004"/>
      <c r="BA179" s="1004"/>
      <c r="BB179" s="1004"/>
      <c r="BC179" s="1004"/>
      <c r="BD179" s="1004"/>
      <c r="BE179" s="1004"/>
      <c r="BF179" s="1004"/>
      <c r="BG179" s="1004"/>
      <c r="BH179" s="1004"/>
      <c r="BI179" s="1004"/>
      <c r="BJ179" s="1004"/>
      <c r="BK179" s="1004"/>
      <c r="BL179" s="1004"/>
    </row>
    <row r="180" spans="2:64" s="682" customFormat="1" x14ac:dyDescent="0.2">
      <c r="B180" s="1263"/>
      <c r="C180" s="1263"/>
      <c r="D180" s="1263"/>
      <c r="E180" s="1263"/>
      <c r="F180" s="1263"/>
      <c r="G180" s="1263"/>
      <c r="H180" s="1263"/>
      <c r="I180" s="1263"/>
      <c r="J180" s="1263"/>
      <c r="K180" s="1263"/>
      <c r="L180" s="1263"/>
      <c r="M180" s="1263"/>
      <c r="N180" s="1263"/>
      <c r="O180" s="1263"/>
      <c r="P180" s="1263"/>
      <c r="Q180" s="1263"/>
      <c r="R180" s="1263"/>
      <c r="S180" s="1263"/>
      <c r="T180" s="1263"/>
      <c r="U180" s="1263"/>
      <c r="V180" s="1263"/>
      <c r="W180" s="1263"/>
      <c r="X180" s="792"/>
      <c r="Y180" s="792"/>
      <c r="Z180" s="792"/>
      <c r="AG180" s="792"/>
      <c r="AH180" s="792"/>
      <c r="AI180" s="792"/>
      <c r="AJ180" s="792"/>
      <c r="AK180" s="792"/>
      <c r="AL180" s="792"/>
      <c r="AM180" s="792"/>
      <c r="AN180" s="792"/>
      <c r="AO180" s="792"/>
      <c r="AP180" s="1004"/>
      <c r="AQ180" s="1004"/>
      <c r="AR180" s="1004"/>
      <c r="AS180" s="1004"/>
      <c r="AT180" s="1004"/>
      <c r="AU180" s="1004"/>
      <c r="AV180" s="1004"/>
      <c r="AW180" s="1004"/>
      <c r="AX180" s="1004"/>
      <c r="AY180" s="1004"/>
      <c r="AZ180" s="1004"/>
      <c r="BA180" s="1004"/>
      <c r="BB180" s="1004"/>
      <c r="BC180" s="1004"/>
      <c r="BD180" s="1004"/>
      <c r="BE180" s="1004"/>
      <c r="BF180" s="1004"/>
      <c r="BG180" s="1004"/>
      <c r="BH180" s="1004"/>
      <c r="BI180" s="1004"/>
      <c r="BJ180" s="1004"/>
      <c r="BK180" s="1004"/>
      <c r="BL180" s="1004"/>
    </row>
    <row r="181" spans="2:64" s="682" customFormat="1" x14ac:dyDescent="0.2">
      <c r="B181" s="1263"/>
      <c r="C181" s="1263"/>
      <c r="D181" s="1263"/>
      <c r="E181" s="1263"/>
      <c r="F181" s="1263"/>
      <c r="G181" s="1263"/>
      <c r="H181" s="1263"/>
      <c r="I181" s="1263"/>
      <c r="J181" s="1263"/>
      <c r="K181" s="1263"/>
      <c r="L181" s="1263"/>
      <c r="M181" s="1263"/>
      <c r="N181" s="1263"/>
      <c r="O181" s="1263"/>
      <c r="P181" s="1263"/>
      <c r="Q181" s="1263"/>
      <c r="R181" s="1263"/>
      <c r="S181" s="1263"/>
      <c r="T181" s="1263"/>
      <c r="U181" s="1263"/>
      <c r="V181" s="1263"/>
      <c r="W181" s="1263"/>
      <c r="X181" s="792"/>
      <c r="Y181" s="792"/>
      <c r="Z181" s="792"/>
      <c r="AG181" s="792"/>
      <c r="AH181" s="792"/>
      <c r="AI181" s="792"/>
      <c r="AJ181" s="792"/>
      <c r="AK181" s="792"/>
      <c r="AL181" s="792"/>
      <c r="AM181" s="792"/>
      <c r="AN181" s="792"/>
      <c r="AO181" s="792"/>
      <c r="AP181" s="1004"/>
      <c r="AQ181" s="1004"/>
      <c r="AR181" s="1004"/>
      <c r="AS181" s="1004"/>
      <c r="AT181" s="1004"/>
      <c r="AU181" s="1004"/>
      <c r="AV181" s="1004"/>
      <c r="AW181" s="1004"/>
      <c r="AX181" s="1004"/>
      <c r="AY181" s="1004"/>
      <c r="AZ181" s="1004"/>
      <c r="BA181" s="1004"/>
      <c r="BB181" s="1004"/>
      <c r="BC181" s="1004"/>
      <c r="BD181" s="1004"/>
      <c r="BE181" s="1004"/>
      <c r="BF181" s="1004"/>
      <c r="BG181" s="1004"/>
      <c r="BH181" s="1004"/>
      <c r="BI181" s="1004"/>
      <c r="BJ181" s="1004"/>
      <c r="BK181" s="1004"/>
      <c r="BL181" s="1004"/>
    </row>
    <row r="182" spans="2:64" s="682" customFormat="1" x14ac:dyDescent="0.2">
      <c r="B182" s="1263"/>
      <c r="C182" s="1263"/>
      <c r="D182" s="1263"/>
      <c r="E182" s="1263"/>
      <c r="F182" s="1263"/>
      <c r="G182" s="1263"/>
      <c r="H182" s="1263"/>
      <c r="I182" s="1263"/>
      <c r="J182" s="1263"/>
      <c r="K182" s="1263"/>
      <c r="L182" s="1263"/>
      <c r="M182" s="1263"/>
      <c r="N182" s="1263"/>
      <c r="O182" s="1263"/>
      <c r="P182" s="1263"/>
      <c r="Q182" s="1263"/>
      <c r="R182" s="1263"/>
      <c r="S182" s="1263"/>
      <c r="T182" s="1263"/>
      <c r="U182" s="1263"/>
      <c r="V182" s="1263"/>
      <c r="W182" s="1263"/>
      <c r="X182" s="792"/>
      <c r="Y182" s="792"/>
      <c r="Z182" s="792"/>
      <c r="AG182" s="792"/>
      <c r="AH182" s="792"/>
      <c r="AI182" s="792"/>
      <c r="AJ182" s="792"/>
      <c r="AK182" s="792"/>
      <c r="AL182" s="792"/>
      <c r="AM182" s="792"/>
      <c r="AN182" s="792"/>
      <c r="AO182" s="792"/>
      <c r="AP182" s="1004"/>
      <c r="AQ182" s="1004"/>
      <c r="AR182" s="1004"/>
      <c r="AS182" s="1004"/>
      <c r="AT182" s="1004"/>
      <c r="AU182" s="1004"/>
      <c r="AV182" s="1004"/>
      <c r="AW182" s="1004"/>
      <c r="AX182" s="1004"/>
      <c r="AY182" s="1004"/>
      <c r="AZ182" s="1004"/>
      <c r="BA182" s="1004"/>
      <c r="BB182" s="1004"/>
      <c r="BC182" s="1004"/>
      <c r="BD182" s="1004"/>
      <c r="BE182" s="1004"/>
      <c r="BF182" s="1004"/>
      <c r="BG182" s="1004"/>
      <c r="BH182" s="1004"/>
      <c r="BI182" s="1004"/>
      <c r="BJ182" s="1004"/>
      <c r="BK182" s="1004"/>
      <c r="BL182" s="1004"/>
    </row>
    <row r="183" spans="2:64" s="682" customFormat="1" x14ac:dyDescent="0.2">
      <c r="B183" s="1263"/>
      <c r="C183" s="1263"/>
      <c r="D183" s="1263"/>
      <c r="E183" s="1263"/>
      <c r="F183" s="1263"/>
      <c r="G183" s="1263"/>
      <c r="H183" s="1263"/>
      <c r="I183" s="1263"/>
      <c r="J183" s="1263"/>
      <c r="K183" s="1263"/>
      <c r="L183" s="1263"/>
      <c r="M183" s="1263"/>
      <c r="N183" s="1263"/>
      <c r="O183" s="1263"/>
      <c r="P183" s="1263"/>
      <c r="Q183" s="1263"/>
      <c r="R183" s="1263"/>
      <c r="S183" s="1263"/>
      <c r="T183" s="1263"/>
      <c r="U183" s="1263"/>
      <c r="V183" s="1263"/>
      <c r="W183" s="1263"/>
      <c r="X183" s="792"/>
      <c r="Y183" s="792"/>
      <c r="Z183" s="792"/>
      <c r="AG183" s="792"/>
      <c r="AH183" s="792"/>
      <c r="AI183" s="792"/>
      <c r="AJ183" s="792"/>
      <c r="AK183" s="792"/>
      <c r="AL183" s="792"/>
      <c r="AM183" s="792"/>
      <c r="AN183" s="792"/>
      <c r="AO183" s="792"/>
      <c r="AP183" s="1004"/>
      <c r="AQ183" s="1004"/>
      <c r="AR183" s="1004"/>
      <c r="AS183" s="1004"/>
      <c r="AT183" s="1004"/>
      <c r="AU183" s="1004"/>
      <c r="AV183" s="1004"/>
      <c r="AW183" s="1004"/>
      <c r="AX183" s="1004"/>
      <c r="AY183" s="1004"/>
      <c r="AZ183" s="1004"/>
      <c r="BA183" s="1004"/>
      <c r="BB183" s="1004"/>
      <c r="BC183" s="1004"/>
      <c r="BD183" s="1004"/>
      <c r="BE183" s="1004"/>
      <c r="BF183" s="1004"/>
      <c r="BG183" s="1004"/>
      <c r="BH183" s="1004"/>
      <c r="BI183" s="1004"/>
      <c r="BJ183" s="1004"/>
      <c r="BK183" s="1004"/>
      <c r="BL183" s="1004"/>
    </row>
    <row r="184" spans="2:64" s="1261" customFormat="1" x14ac:dyDescent="0.2">
      <c r="B184" s="1263"/>
      <c r="C184" s="1263"/>
      <c r="D184" s="1263"/>
      <c r="E184" s="1263"/>
      <c r="F184" s="1263"/>
      <c r="G184" s="1263"/>
      <c r="H184" s="1263"/>
      <c r="I184" s="1263"/>
      <c r="J184" s="1263"/>
      <c r="K184" s="1263"/>
      <c r="L184" s="1263"/>
      <c r="M184" s="1263"/>
      <c r="N184" s="1263"/>
      <c r="O184" s="1263"/>
      <c r="P184" s="1263"/>
      <c r="Q184" s="1263"/>
      <c r="R184" s="1263"/>
      <c r="S184" s="1263"/>
      <c r="T184" s="1263"/>
      <c r="U184" s="1263"/>
      <c r="V184" s="1263"/>
      <c r="W184" s="1263"/>
      <c r="X184" s="1019"/>
      <c r="Y184" s="1019"/>
      <c r="Z184" s="1019"/>
      <c r="AG184" s="1019"/>
      <c r="AH184" s="1019"/>
      <c r="AI184" s="1019"/>
      <c r="AJ184" s="1019"/>
      <c r="AK184" s="1019"/>
      <c r="AL184" s="1019"/>
      <c r="AM184" s="1019"/>
      <c r="AN184" s="1019"/>
      <c r="AO184" s="1019"/>
      <c r="AP184" s="1004"/>
      <c r="AQ184" s="1004"/>
      <c r="AR184" s="1004"/>
      <c r="AS184" s="1004"/>
      <c r="AT184" s="1004"/>
      <c r="AU184" s="1004"/>
      <c r="AV184" s="1004"/>
      <c r="AW184" s="1004"/>
      <c r="AX184" s="1004"/>
      <c r="AY184" s="1004"/>
      <c r="AZ184" s="1004"/>
      <c r="BA184" s="1004"/>
      <c r="BB184" s="1004"/>
      <c r="BC184" s="1004"/>
      <c r="BD184" s="1004"/>
      <c r="BE184" s="1004"/>
      <c r="BF184" s="1004"/>
      <c r="BG184" s="1004"/>
      <c r="BH184" s="1004"/>
      <c r="BI184" s="1004"/>
      <c r="BJ184" s="1004"/>
      <c r="BK184" s="1004"/>
      <c r="BL184" s="1004"/>
    </row>
    <row r="185" spans="2:64" s="682" customFormat="1" x14ac:dyDescent="0.2">
      <c r="B185" s="1263"/>
      <c r="C185" s="1263"/>
      <c r="D185" s="1263"/>
      <c r="E185" s="1263"/>
      <c r="F185" s="1263"/>
      <c r="G185" s="1263"/>
      <c r="H185" s="1263"/>
      <c r="I185" s="1263"/>
      <c r="J185" s="1263"/>
      <c r="K185" s="1263"/>
      <c r="L185" s="1263"/>
      <c r="M185" s="1263"/>
      <c r="N185" s="1263"/>
      <c r="O185" s="1263"/>
      <c r="P185" s="1263"/>
      <c r="Q185" s="1263"/>
      <c r="R185" s="1263"/>
      <c r="S185" s="1263"/>
      <c r="T185" s="1263"/>
      <c r="U185" s="1263"/>
      <c r="V185" s="1263"/>
      <c r="W185" s="1263"/>
      <c r="X185" s="792"/>
      <c r="Y185" s="792"/>
      <c r="Z185" s="792"/>
      <c r="AG185" s="792"/>
      <c r="AH185" s="792"/>
      <c r="AI185" s="792"/>
      <c r="AJ185" s="792"/>
      <c r="AK185" s="792"/>
      <c r="AL185" s="792"/>
      <c r="AM185" s="792"/>
      <c r="AN185" s="792"/>
      <c r="AO185" s="792"/>
      <c r="AP185" s="1004"/>
      <c r="AQ185" s="1004"/>
      <c r="AR185" s="1004"/>
      <c r="AS185" s="1004"/>
      <c r="AT185" s="1004"/>
      <c r="AU185" s="1004"/>
      <c r="AV185" s="1004"/>
      <c r="AW185" s="1004"/>
      <c r="AX185" s="1004"/>
      <c r="AY185" s="1004"/>
      <c r="AZ185" s="1004"/>
      <c r="BA185" s="1004"/>
      <c r="BB185" s="1004"/>
      <c r="BC185" s="1004"/>
      <c r="BD185" s="1004"/>
      <c r="BE185" s="1004"/>
      <c r="BF185" s="1004"/>
      <c r="BG185" s="1004"/>
      <c r="BH185" s="1004"/>
      <c r="BI185" s="1004"/>
      <c r="BJ185" s="1004"/>
      <c r="BK185" s="1004"/>
      <c r="BL185" s="1004"/>
    </row>
    <row r="186" spans="2:64" s="682" customFormat="1" x14ac:dyDescent="0.2">
      <c r="B186" s="1263"/>
      <c r="C186" s="1263"/>
      <c r="D186" s="1263"/>
      <c r="E186" s="1263"/>
      <c r="F186" s="1263"/>
      <c r="G186" s="1263"/>
      <c r="H186" s="1263"/>
      <c r="I186" s="1263"/>
      <c r="J186" s="1263"/>
      <c r="K186" s="1263"/>
      <c r="L186" s="1263"/>
      <c r="M186" s="1263"/>
      <c r="N186" s="1263"/>
      <c r="O186" s="1263"/>
      <c r="P186" s="1263"/>
      <c r="Q186" s="1263"/>
      <c r="R186" s="1263"/>
      <c r="S186" s="1263"/>
      <c r="T186" s="1263"/>
      <c r="U186" s="1263"/>
      <c r="V186" s="1263"/>
      <c r="W186" s="1263"/>
      <c r="X186" s="792"/>
      <c r="Y186" s="792"/>
      <c r="Z186" s="792"/>
      <c r="AG186" s="792"/>
      <c r="AH186" s="792"/>
      <c r="AI186" s="792"/>
      <c r="AJ186" s="792"/>
      <c r="AK186" s="792"/>
      <c r="AL186" s="792"/>
      <c r="AM186" s="792"/>
      <c r="AN186" s="792"/>
      <c r="AO186" s="792"/>
      <c r="AP186" s="1004"/>
      <c r="AQ186" s="1004"/>
      <c r="AR186" s="1004"/>
      <c r="AS186" s="1004"/>
      <c r="AT186" s="1004"/>
      <c r="AU186" s="1004"/>
      <c r="AV186" s="1004"/>
      <c r="AW186" s="1004"/>
      <c r="AX186" s="1004"/>
      <c r="AY186" s="1004"/>
      <c r="AZ186" s="1004"/>
      <c r="BA186" s="1004"/>
      <c r="BB186" s="1004"/>
      <c r="BC186" s="1004"/>
      <c r="BD186" s="1004"/>
      <c r="BE186" s="1004"/>
      <c r="BF186" s="1004"/>
      <c r="BG186" s="1004"/>
      <c r="BH186" s="1004"/>
      <c r="BI186" s="1004"/>
      <c r="BJ186" s="1004"/>
      <c r="BK186" s="1004"/>
      <c r="BL186" s="1004"/>
    </row>
    <row r="187" spans="2:64" s="682" customFormat="1" x14ac:dyDescent="0.2">
      <c r="B187" s="1263"/>
      <c r="C187" s="1263"/>
      <c r="D187" s="1263"/>
      <c r="E187" s="1263"/>
      <c r="F187" s="1263"/>
      <c r="G187" s="1263"/>
      <c r="H187" s="1263"/>
      <c r="I187" s="1263"/>
      <c r="J187" s="1263"/>
      <c r="K187" s="1263"/>
      <c r="L187" s="1263"/>
      <c r="M187" s="1263"/>
      <c r="N187" s="1263"/>
      <c r="O187" s="1263"/>
      <c r="P187" s="1263"/>
      <c r="Q187" s="1263"/>
      <c r="R187" s="1263"/>
      <c r="S187" s="1263"/>
      <c r="T187" s="1263"/>
      <c r="U187" s="1263"/>
      <c r="V187" s="1263"/>
      <c r="W187" s="1263"/>
      <c r="X187" s="792"/>
      <c r="Y187" s="792"/>
      <c r="Z187" s="792"/>
      <c r="AG187" s="792"/>
      <c r="AH187" s="792"/>
      <c r="AI187" s="792"/>
      <c r="AJ187" s="792"/>
      <c r="AK187" s="792"/>
      <c r="AL187" s="792"/>
      <c r="AM187" s="792"/>
      <c r="AN187" s="792"/>
      <c r="AO187" s="792"/>
      <c r="AP187" s="1004"/>
      <c r="AQ187" s="1004"/>
      <c r="AR187" s="1004"/>
      <c r="AS187" s="1004"/>
      <c r="AT187" s="1004"/>
      <c r="AU187" s="1004"/>
      <c r="AV187" s="1004"/>
      <c r="AW187" s="1004"/>
      <c r="AX187" s="1004"/>
      <c r="AY187" s="1004"/>
      <c r="AZ187" s="1004"/>
      <c r="BA187" s="1004"/>
      <c r="BB187" s="1004"/>
      <c r="BC187" s="1004"/>
      <c r="BD187" s="1004"/>
      <c r="BE187" s="1004"/>
      <c r="BF187" s="1004"/>
      <c r="BG187" s="1004"/>
      <c r="BH187" s="1004"/>
      <c r="BI187" s="1004"/>
      <c r="BJ187" s="1004"/>
      <c r="BK187" s="1004"/>
      <c r="BL187" s="1004"/>
    </row>
    <row r="188" spans="2:64" s="682" customFormat="1" x14ac:dyDescent="0.2">
      <c r="B188" s="1263"/>
      <c r="C188" s="1263"/>
      <c r="D188" s="1263"/>
      <c r="E188" s="1263"/>
      <c r="F188" s="1263"/>
      <c r="G188" s="1263"/>
      <c r="H188" s="1263"/>
      <c r="I188" s="1263"/>
      <c r="J188" s="1263"/>
      <c r="K188" s="1263"/>
      <c r="L188" s="1263"/>
      <c r="M188" s="1263"/>
      <c r="N188" s="1263"/>
      <c r="O188" s="1263"/>
      <c r="P188" s="1263"/>
      <c r="Q188" s="1263"/>
      <c r="R188" s="1263"/>
      <c r="S188" s="1263"/>
      <c r="T188" s="1263"/>
      <c r="U188" s="1263"/>
      <c r="V188" s="1263"/>
      <c r="W188" s="1263"/>
      <c r="X188" s="792"/>
      <c r="Y188" s="792"/>
      <c r="Z188" s="792"/>
      <c r="AG188" s="792"/>
      <c r="AH188" s="792"/>
      <c r="AI188" s="792"/>
      <c r="AJ188" s="792"/>
      <c r="AK188" s="792"/>
      <c r="AL188" s="792"/>
      <c r="AM188" s="792"/>
      <c r="AN188" s="792"/>
      <c r="AO188" s="792"/>
      <c r="AP188" s="1004"/>
      <c r="AQ188" s="1004"/>
      <c r="AR188" s="1004"/>
      <c r="AS188" s="1004"/>
      <c r="AT188" s="1004"/>
      <c r="AU188" s="1004"/>
      <c r="AV188" s="1004"/>
      <c r="AW188" s="1004"/>
      <c r="AX188" s="1004"/>
      <c r="AY188" s="1004"/>
      <c r="AZ188" s="1004"/>
      <c r="BA188" s="1004"/>
      <c r="BB188" s="1004"/>
      <c r="BC188" s="1004"/>
      <c r="BD188" s="1004"/>
      <c r="BE188" s="1004"/>
      <c r="BF188" s="1004"/>
      <c r="BG188" s="1004"/>
      <c r="BH188" s="1004"/>
      <c r="BI188" s="1004"/>
      <c r="BJ188" s="1004"/>
      <c r="BK188" s="1004"/>
      <c r="BL188" s="1004"/>
    </row>
    <row r="189" spans="2:64" s="1261" customFormat="1" x14ac:dyDescent="0.2">
      <c r="B189" s="1263"/>
      <c r="C189" s="1263"/>
      <c r="D189" s="1263"/>
      <c r="E189" s="1263"/>
      <c r="F189" s="1263"/>
      <c r="G189" s="1263"/>
      <c r="H189" s="1263"/>
      <c r="I189" s="1263"/>
      <c r="J189" s="1263"/>
      <c r="K189" s="1263"/>
      <c r="L189" s="1263"/>
      <c r="M189" s="1263"/>
      <c r="N189" s="1263"/>
      <c r="O189" s="1263"/>
      <c r="P189" s="1263"/>
      <c r="Q189" s="1263"/>
      <c r="R189" s="1263"/>
      <c r="S189" s="1263"/>
      <c r="T189" s="1263"/>
      <c r="U189" s="1263"/>
      <c r="V189" s="1263"/>
      <c r="W189" s="1263"/>
      <c r="X189" s="1019"/>
      <c r="Y189" s="1019"/>
      <c r="Z189" s="1019"/>
      <c r="AG189" s="1019"/>
      <c r="AH189" s="1019"/>
      <c r="AI189" s="1019"/>
      <c r="AJ189" s="1019"/>
      <c r="AK189" s="1019"/>
      <c r="AL189" s="1019"/>
      <c r="AM189" s="1019"/>
      <c r="AN189" s="1019"/>
      <c r="AO189" s="1019"/>
      <c r="AP189" s="1004"/>
      <c r="AQ189" s="1004"/>
      <c r="AR189" s="1004"/>
      <c r="AS189" s="1004"/>
      <c r="AT189" s="1004"/>
      <c r="AU189" s="1004"/>
      <c r="AV189" s="1004"/>
      <c r="AW189" s="1004"/>
      <c r="AX189" s="1004"/>
      <c r="AY189" s="1004"/>
      <c r="AZ189" s="1004"/>
      <c r="BA189" s="1004"/>
      <c r="BB189" s="1004"/>
      <c r="BC189" s="1004"/>
      <c r="BD189" s="1004"/>
      <c r="BE189" s="1004"/>
      <c r="BF189" s="1004"/>
      <c r="BG189" s="1004"/>
      <c r="BH189" s="1004"/>
      <c r="BI189" s="1004"/>
      <c r="BJ189" s="1004"/>
      <c r="BK189" s="1004"/>
      <c r="BL189" s="1004"/>
    </row>
    <row r="190" spans="2:64" s="682" customFormat="1" x14ac:dyDescent="0.2">
      <c r="B190" s="1263"/>
      <c r="C190" s="1263"/>
      <c r="D190" s="1263"/>
      <c r="E190" s="1263"/>
      <c r="F190" s="1263"/>
      <c r="G190" s="1263"/>
      <c r="H190" s="1263"/>
      <c r="I190" s="1263"/>
      <c r="J190" s="1263"/>
      <c r="K190" s="1263"/>
      <c r="L190" s="1263"/>
      <c r="M190" s="1263"/>
      <c r="N190" s="1263"/>
      <c r="O190" s="1263"/>
      <c r="P190" s="1263"/>
      <c r="Q190" s="1263"/>
      <c r="R190" s="1263"/>
      <c r="S190" s="1263"/>
      <c r="T190" s="1263"/>
      <c r="U190" s="1263"/>
      <c r="V190" s="1263"/>
      <c r="W190" s="1263"/>
      <c r="X190" s="792"/>
      <c r="Y190" s="792"/>
      <c r="Z190" s="792"/>
      <c r="AG190" s="792"/>
      <c r="AH190" s="792"/>
      <c r="AI190" s="792"/>
      <c r="AJ190" s="792"/>
      <c r="AK190" s="792"/>
      <c r="AL190" s="792"/>
      <c r="AM190" s="792"/>
      <c r="AN190" s="792"/>
      <c r="AO190" s="792"/>
      <c r="AP190" s="1004"/>
      <c r="AQ190" s="1004"/>
      <c r="AR190" s="1004"/>
      <c r="AS190" s="1004"/>
      <c r="AT190" s="1004"/>
      <c r="AU190" s="1004"/>
      <c r="AV190" s="1004"/>
      <c r="AW190" s="1004"/>
      <c r="AX190" s="1004"/>
      <c r="AY190" s="1004"/>
      <c r="AZ190" s="1004"/>
      <c r="BA190" s="1004"/>
      <c r="BB190" s="1004"/>
      <c r="BC190" s="1004"/>
      <c r="BD190" s="1004"/>
      <c r="BE190" s="1004"/>
      <c r="BF190" s="1004"/>
      <c r="BG190" s="1004"/>
      <c r="BH190" s="1004"/>
      <c r="BI190" s="1004"/>
      <c r="BJ190" s="1004"/>
      <c r="BK190" s="1004"/>
      <c r="BL190" s="1004"/>
    </row>
    <row r="191" spans="2:64" s="682" customFormat="1" x14ac:dyDescent="0.2">
      <c r="B191" s="1263"/>
      <c r="C191" s="1263"/>
      <c r="D191" s="1263"/>
      <c r="E191" s="1263"/>
      <c r="F191" s="1263"/>
      <c r="G191" s="1263"/>
      <c r="H191" s="1263"/>
      <c r="I191" s="1263"/>
      <c r="J191" s="1263"/>
      <c r="K191" s="1263"/>
      <c r="L191" s="1263"/>
      <c r="M191" s="1263"/>
      <c r="N191" s="1263"/>
      <c r="O191" s="1263"/>
      <c r="P191" s="1263"/>
      <c r="Q191" s="1263"/>
      <c r="R191" s="1263"/>
      <c r="S191" s="1263"/>
      <c r="T191" s="1263"/>
      <c r="U191" s="1263"/>
      <c r="V191" s="1263"/>
      <c r="W191" s="1263"/>
      <c r="X191" s="792"/>
      <c r="Y191" s="792"/>
      <c r="Z191" s="792"/>
      <c r="AG191" s="792"/>
      <c r="AH191" s="792"/>
      <c r="AI191" s="792"/>
      <c r="AJ191" s="792"/>
      <c r="AK191" s="792"/>
      <c r="AL191" s="792"/>
      <c r="AM191" s="792"/>
      <c r="AN191" s="792"/>
      <c r="AO191" s="792"/>
      <c r="AP191" s="1004"/>
      <c r="AQ191" s="1004"/>
      <c r="AR191" s="1004"/>
      <c r="AS191" s="1004"/>
      <c r="AT191" s="1004"/>
      <c r="AU191" s="1004"/>
      <c r="AV191" s="1004"/>
      <c r="AW191" s="1004"/>
      <c r="AX191" s="1004"/>
      <c r="AY191" s="1004"/>
      <c r="AZ191" s="1004"/>
      <c r="BA191" s="1004"/>
      <c r="BB191" s="1004"/>
      <c r="BC191" s="1004"/>
      <c r="BD191" s="1004"/>
      <c r="BE191" s="1004"/>
      <c r="BF191" s="1004"/>
      <c r="BG191" s="1004"/>
      <c r="BH191" s="1004"/>
      <c r="BI191" s="1004"/>
      <c r="BJ191" s="1004"/>
      <c r="BK191" s="1004"/>
      <c r="BL191" s="1004"/>
    </row>
    <row r="192" spans="2:64" s="682" customFormat="1" x14ac:dyDescent="0.2">
      <c r="B192" s="1263"/>
      <c r="C192" s="1263"/>
      <c r="D192" s="1263"/>
      <c r="E192" s="1263"/>
      <c r="F192" s="1263"/>
      <c r="G192" s="1263"/>
      <c r="H192" s="1263"/>
      <c r="I192" s="1263"/>
      <c r="J192" s="1263"/>
      <c r="K192" s="1263"/>
      <c r="L192" s="1263"/>
      <c r="M192" s="1263"/>
      <c r="N192" s="1263"/>
      <c r="O192" s="1263"/>
      <c r="P192" s="1263"/>
      <c r="Q192" s="1263"/>
      <c r="R192" s="1263"/>
      <c r="S192" s="1263"/>
      <c r="T192" s="1263"/>
      <c r="U192" s="1263"/>
      <c r="V192" s="1263"/>
      <c r="W192" s="1263"/>
      <c r="X192" s="792"/>
      <c r="Y192" s="792"/>
      <c r="Z192" s="792"/>
      <c r="AG192" s="792"/>
      <c r="AH192" s="792"/>
      <c r="AI192" s="792"/>
      <c r="AJ192" s="792"/>
      <c r="AK192" s="792"/>
      <c r="AL192" s="792"/>
      <c r="AM192" s="792"/>
      <c r="AN192" s="792"/>
      <c r="AO192" s="792"/>
      <c r="AP192" s="1004"/>
      <c r="AQ192" s="1004"/>
      <c r="AR192" s="1004"/>
      <c r="AS192" s="1004"/>
      <c r="AT192" s="1004"/>
      <c r="AU192" s="1004"/>
      <c r="AV192" s="1004"/>
      <c r="AW192" s="1004"/>
      <c r="AX192" s="1004"/>
      <c r="AY192" s="1004"/>
      <c r="AZ192" s="1004"/>
      <c r="BA192" s="1004"/>
      <c r="BB192" s="1004"/>
      <c r="BC192" s="1004"/>
      <c r="BD192" s="1004"/>
      <c r="BE192" s="1004"/>
      <c r="BF192" s="1004"/>
      <c r="BG192" s="1004"/>
      <c r="BH192" s="1004"/>
      <c r="BI192" s="1004"/>
      <c r="BJ192" s="1004"/>
      <c r="BK192" s="1004"/>
      <c r="BL192" s="1004"/>
    </row>
    <row r="193" spans="2:64" s="682" customFormat="1" x14ac:dyDescent="0.2">
      <c r="B193" s="1263"/>
      <c r="C193" s="1263"/>
      <c r="D193" s="1263"/>
      <c r="E193" s="1263"/>
      <c r="F193" s="1263"/>
      <c r="G193" s="1263"/>
      <c r="H193" s="1263"/>
      <c r="I193" s="1263"/>
      <c r="J193" s="1263"/>
      <c r="K193" s="1263"/>
      <c r="L193" s="1263"/>
      <c r="M193" s="1263"/>
      <c r="N193" s="1263"/>
      <c r="O193" s="1263"/>
      <c r="P193" s="1263"/>
      <c r="Q193" s="1263"/>
      <c r="R193" s="1263"/>
      <c r="S193" s="1263"/>
      <c r="T193" s="1263"/>
      <c r="U193" s="1263"/>
      <c r="V193" s="1263"/>
      <c r="W193" s="1263"/>
      <c r="X193" s="792"/>
      <c r="Y193" s="792"/>
      <c r="Z193" s="792"/>
      <c r="AG193" s="792"/>
      <c r="AH193" s="792"/>
      <c r="AI193" s="792"/>
      <c r="AJ193" s="792"/>
      <c r="AK193" s="792"/>
      <c r="AL193" s="792"/>
      <c r="AM193" s="792"/>
      <c r="AN193" s="792"/>
      <c r="AO193" s="792"/>
      <c r="AP193" s="1004"/>
      <c r="AQ193" s="1004"/>
      <c r="AR193" s="1004"/>
      <c r="AS193" s="1004"/>
      <c r="AT193" s="1004"/>
      <c r="AU193" s="1004"/>
      <c r="AV193" s="1004"/>
      <c r="AW193" s="1004"/>
      <c r="AX193" s="1004"/>
      <c r="AY193" s="1004"/>
      <c r="AZ193" s="1004"/>
      <c r="BA193" s="1004"/>
      <c r="BB193" s="1004"/>
      <c r="BC193" s="1004"/>
      <c r="BD193" s="1004"/>
      <c r="BE193" s="1004"/>
      <c r="BF193" s="1004"/>
      <c r="BG193" s="1004"/>
      <c r="BH193" s="1004"/>
      <c r="BI193" s="1004"/>
      <c r="BJ193" s="1004"/>
      <c r="BK193" s="1004"/>
      <c r="BL193" s="1004"/>
    </row>
    <row r="194" spans="2:64" s="1261" customFormat="1" x14ac:dyDescent="0.2">
      <c r="B194" s="1263"/>
      <c r="C194" s="1263"/>
      <c r="D194" s="1263"/>
      <c r="E194" s="1263"/>
      <c r="F194" s="1263"/>
      <c r="G194" s="1263"/>
      <c r="H194" s="1263"/>
      <c r="I194" s="1263"/>
      <c r="J194" s="1263"/>
      <c r="K194" s="1263"/>
      <c r="L194" s="1263"/>
      <c r="M194" s="1263"/>
      <c r="N194" s="1263"/>
      <c r="O194" s="1263"/>
      <c r="P194" s="1263"/>
      <c r="Q194" s="1263"/>
      <c r="R194" s="1263"/>
      <c r="S194" s="1263"/>
      <c r="T194" s="1263"/>
      <c r="U194" s="1263"/>
      <c r="V194" s="1263"/>
      <c r="W194" s="1263"/>
      <c r="X194" s="1019"/>
      <c r="Y194" s="1019"/>
      <c r="Z194" s="1019"/>
      <c r="AG194" s="1019"/>
      <c r="AH194" s="1019"/>
      <c r="AI194" s="1019"/>
      <c r="AJ194" s="1019"/>
      <c r="AK194" s="1019"/>
      <c r="AL194" s="1019"/>
      <c r="AM194" s="1019"/>
      <c r="AN194" s="1019"/>
      <c r="AO194" s="1019"/>
      <c r="AP194" s="1004"/>
      <c r="AQ194" s="1004"/>
      <c r="AR194" s="1004"/>
      <c r="AS194" s="1004"/>
      <c r="AT194" s="1004"/>
      <c r="AU194" s="1004"/>
      <c r="AV194" s="1004"/>
      <c r="AW194" s="1004"/>
      <c r="AX194" s="1004"/>
      <c r="AY194" s="1004"/>
      <c r="AZ194" s="1004"/>
      <c r="BA194" s="1004"/>
      <c r="BB194" s="1004"/>
      <c r="BC194" s="1004"/>
      <c r="BD194" s="1004"/>
      <c r="BE194" s="1004"/>
      <c r="BF194" s="1004"/>
      <c r="BG194" s="1004"/>
      <c r="BH194" s="1004"/>
      <c r="BI194" s="1004"/>
      <c r="BJ194" s="1004"/>
      <c r="BK194" s="1004"/>
      <c r="BL194" s="1004"/>
    </row>
    <row r="195" spans="2:64" s="682" customFormat="1" x14ac:dyDescent="0.2">
      <c r="B195" s="1263"/>
      <c r="C195" s="1263"/>
      <c r="D195" s="1263"/>
      <c r="E195" s="1263"/>
      <c r="F195" s="1263"/>
      <c r="G195" s="1263"/>
      <c r="H195" s="1263"/>
      <c r="I195" s="1263"/>
      <c r="J195" s="1263"/>
      <c r="K195" s="1263"/>
      <c r="L195" s="1263"/>
      <c r="M195" s="1263"/>
      <c r="N195" s="1263"/>
      <c r="O195" s="1263"/>
      <c r="P195" s="1263"/>
      <c r="Q195" s="1263"/>
      <c r="R195" s="1263"/>
      <c r="S195" s="1263"/>
      <c r="T195" s="1263"/>
      <c r="U195" s="1263"/>
      <c r="V195" s="1263"/>
      <c r="W195" s="1263"/>
      <c r="X195" s="792"/>
      <c r="Y195" s="792"/>
      <c r="Z195" s="792"/>
      <c r="AG195" s="792"/>
      <c r="AH195" s="792"/>
      <c r="AI195" s="792"/>
      <c r="AJ195" s="792"/>
      <c r="AK195" s="792"/>
      <c r="AL195" s="792"/>
      <c r="AM195" s="792"/>
      <c r="AN195" s="792"/>
      <c r="AO195" s="792"/>
      <c r="AP195" s="1004"/>
      <c r="AQ195" s="1004"/>
      <c r="AR195" s="1004"/>
      <c r="AS195" s="1004"/>
      <c r="AT195" s="1004"/>
      <c r="AU195" s="1004"/>
      <c r="AV195" s="1004"/>
      <c r="AW195" s="1004"/>
      <c r="AX195" s="1004"/>
      <c r="AY195" s="1004"/>
      <c r="AZ195" s="1004"/>
      <c r="BA195" s="1004"/>
      <c r="BB195" s="1004"/>
      <c r="BC195" s="1004"/>
      <c r="BD195" s="1004"/>
      <c r="BE195" s="1004"/>
      <c r="BF195" s="1004"/>
      <c r="BG195" s="1004"/>
      <c r="BH195" s="1004"/>
      <c r="BI195" s="1004"/>
      <c r="BJ195" s="1004"/>
      <c r="BK195" s="1004"/>
      <c r="BL195" s="1004"/>
    </row>
    <row r="196" spans="2:64" s="682" customFormat="1" x14ac:dyDescent="0.2">
      <c r="B196" s="1263"/>
      <c r="C196" s="1263"/>
      <c r="D196" s="1263"/>
      <c r="E196" s="1263"/>
      <c r="F196" s="1263"/>
      <c r="G196" s="1263"/>
      <c r="H196" s="1263"/>
      <c r="I196" s="1263"/>
      <c r="J196" s="1263"/>
      <c r="K196" s="1263"/>
      <c r="L196" s="1263"/>
      <c r="M196" s="1263"/>
      <c r="N196" s="1263"/>
      <c r="O196" s="1263"/>
      <c r="P196" s="1263"/>
      <c r="Q196" s="1263"/>
      <c r="R196" s="1263"/>
      <c r="S196" s="1263"/>
      <c r="T196" s="1263"/>
      <c r="U196" s="1263"/>
      <c r="V196" s="1263"/>
      <c r="W196" s="1263"/>
      <c r="X196" s="792"/>
      <c r="Y196" s="792"/>
      <c r="Z196" s="792"/>
      <c r="AG196" s="792"/>
      <c r="AH196" s="792"/>
      <c r="AI196" s="792"/>
      <c r="AJ196" s="792"/>
      <c r="AK196" s="792"/>
      <c r="AL196" s="792"/>
      <c r="AM196" s="792"/>
      <c r="AN196" s="792"/>
      <c r="AO196" s="792"/>
      <c r="AP196" s="1004"/>
      <c r="AQ196" s="1004"/>
      <c r="AR196" s="1004"/>
      <c r="AS196" s="1004"/>
      <c r="AT196" s="1004"/>
      <c r="AU196" s="1004"/>
      <c r="AV196" s="1004"/>
      <c r="AW196" s="1004"/>
      <c r="AX196" s="1004"/>
      <c r="AY196" s="1004"/>
      <c r="AZ196" s="1004"/>
      <c r="BA196" s="1004"/>
      <c r="BB196" s="1004"/>
      <c r="BC196" s="1004"/>
      <c r="BD196" s="1004"/>
      <c r="BE196" s="1004"/>
      <c r="BF196" s="1004"/>
      <c r="BG196" s="1004"/>
      <c r="BH196" s="1004"/>
      <c r="BI196" s="1004"/>
      <c r="BJ196" s="1004"/>
      <c r="BK196" s="1004"/>
      <c r="BL196" s="1004"/>
    </row>
    <row r="197" spans="2:64" s="682" customFormat="1" x14ac:dyDescent="0.2">
      <c r="B197" s="1263"/>
      <c r="C197" s="1263"/>
      <c r="D197" s="1263"/>
      <c r="E197" s="1263"/>
      <c r="F197" s="1263"/>
      <c r="G197" s="1263"/>
      <c r="H197" s="1263"/>
      <c r="I197" s="1263"/>
      <c r="J197" s="1263"/>
      <c r="K197" s="1263"/>
      <c r="L197" s="1263"/>
      <c r="M197" s="1263"/>
      <c r="N197" s="1263"/>
      <c r="O197" s="1263"/>
      <c r="P197" s="1263"/>
      <c r="Q197" s="1263"/>
      <c r="R197" s="1263"/>
      <c r="S197" s="1263"/>
      <c r="T197" s="1263"/>
      <c r="U197" s="1263"/>
      <c r="V197" s="1263"/>
      <c r="W197" s="1263"/>
      <c r="X197" s="792"/>
      <c r="Y197" s="792"/>
      <c r="Z197" s="792"/>
      <c r="AG197" s="792"/>
      <c r="AH197" s="792"/>
      <c r="AI197" s="792"/>
      <c r="AJ197" s="792"/>
      <c r="AK197" s="792"/>
      <c r="AL197" s="792"/>
      <c r="AM197" s="792"/>
      <c r="AN197" s="792"/>
      <c r="AO197" s="792"/>
      <c r="AP197" s="1004"/>
      <c r="AQ197" s="1004"/>
      <c r="AR197" s="1004"/>
      <c r="AS197" s="1004"/>
      <c r="AT197" s="1004"/>
      <c r="AU197" s="1004"/>
      <c r="AV197" s="1004"/>
      <c r="AW197" s="1004"/>
      <c r="AX197" s="1004"/>
      <c r="AY197" s="1004"/>
      <c r="AZ197" s="1004"/>
      <c r="BA197" s="1004"/>
      <c r="BB197" s="1004"/>
      <c r="BC197" s="1004"/>
      <c r="BD197" s="1004"/>
      <c r="BE197" s="1004"/>
      <c r="BF197" s="1004"/>
      <c r="BG197" s="1004"/>
      <c r="BH197" s="1004"/>
      <c r="BI197" s="1004"/>
      <c r="BJ197" s="1004"/>
      <c r="BK197" s="1004"/>
      <c r="BL197" s="1004"/>
    </row>
    <row r="198" spans="2:64" s="682" customFormat="1" x14ac:dyDescent="0.2">
      <c r="B198" s="1263"/>
      <c r="C198" s="1263"/>
      <c r="D198" s="1263"/>
      <c r="E198" s="1263"/>
      <c r="F198" s="1263"/>
      <c r="G198" s="1263"/>
      <c r="H198" s="1263"/>
      <c r="I198" s="1263"/>
      <c r="J198" s="1263"/>
      <c r="K198" s="1263"/>
      <c r="L198" s="1263"/>
      <c r="M198" s="1263"/>
      <c r="N198" s="1263"/>
      <c r="O198" s="1263"/>
      <c r="P198" s="1263"/>
      <c r="Q198" s="1263"/>
      <c r="R198" s="1263"/>
      <c r="S198" s="1263"/>
      <c r="T198" s="1263"/>
      <c r="U198" s="1263"/>
      <c r="V198" s="1263"/>
      <c r="W198" s="1263"/>
      <c r="X198" s="792"/>
      <c r="Y198" s="792"/>
      <c r="Z198" s="792"/>
      <c r="AG198" s="792"/>
      <c r="AH198" s="792"/>
      <c r="AI198" s="792"/>
      <c r="AJ198" s="792"/>
      <c r="AK198" s="792"/>
      <c r="AL198" s="792"/>
      <c r="AM198" s="792"/>
      <c r="AN198" s="792"/>
      <c r="AO198" s="792"/>
      <c r="AP198" s="1004"/>
      <c r="AQ198" s="1004"/>
      <c r="AR198" s="1004"/>
      <c r="AS198" s="1004"/>
      <c r="AT198" s="1004"/>
      <c r="AU198" s="1004"/>
      <c r="AV198" s="1004"/>
      <c r="AW198" s="1004"/>
      <c r="AX198" s="1004"/>
      <c r="AY198" s="1004"/>
      <c r="AZ198" s="1004"/>
      <c r="BA198" s="1004"/>
      <c r="BB198" s="1004"/>
      <c r="BC198" s="1004"/>
      <c r="BD198" s="1004"/>
      <c r="BE198" s="1004"/>
      <c r="BF198" s="1004"/>
      <c r="BG198" s="1004"/>
      <c r="BH198" s="1004"/>
      <c r="BI198" s="1004"/>
      <c r="BJ198" s="1004"/>
      <c r="BK198" s="1004"/>
      <c r="BL198" s="1004"/>
    </row>
    <row r="199" spans="2:64" s="1261" customFormat="1" x14ac:dyDescent="0.2">
      <c r="B199" s="1263"/>
      <c r="C199" s="1263"/>
      <c r="D199" s="1263"/>
      <c r="E199" s="1263"/>
      <c r="F199" s="1263"/>
      <c r="G199" s="1263"/>
      <c r="H199" s="1263"/>
      <c r="I199" s="1263"/>
      <c r="J199" s="1263"/>
      <c r="K199" s="1263"/>
      <c r="L199" s="1263"/>
      <c r="M199" s="1263"/>
      <c r="N199" s="1263"/>
      <c r="O199" s="1263"/>
      <c r="P199" s="1263"/>
      <c r="Q199" s="1263"/>
      <c r="R199" s="1263"/>
      <c r="S199" s="1263"/>
      <c r="T199" s="1263"/>
      <c r="U199" s="1263"/>
      <c r="V199" s="1263"/>
      <c r="W199" s="1263"/>
      <c r="X199" s="1019"/>
      <c r="Y199" s="1019"/>
      <c r="Z199" s="1019"/>
      <c r="AG199" s="1019"/>
      <c r="AH199" s="1019"/>
      <c r="AI199" s="1019"/>
      <c r="AJ199" s="1019"/>
      <c r="AK199" s="1019"/>
      <c r="AL199" s="1019"/>
      <c r="AM199" s="1019"/>
      <c r="AN199" s="1019"/>
      <c r="AO199" s="1019"/>
      <c r="AP199" s="1004"/>
      <c r="AQ199" s="1004"/>
      <c r="AR199" s="1004"/>
      <c r="AS199" s="1004"/>
      <c r="AT199" s="1004"/>
      <c r="AU199" s="1004"/>
      <c r="AV199" s="1004"/>
      <c r="AW199" s="1004"/>
      <c r="AX199" s="1004"/>
      <c r="AY199" s="1004"/>
      <c r="AZ199" s="1004"/>
      <c r="BA199" s="1004"/>
      <c r="BB199" s="1004"/>
      <c r="BC199" s="1004"/>
      <c r="BD199" s="1004"/>
      <c r="BE199" s="1004"/>
      <c r="BF199" s="1004"/>
      <c r="BG199" s="1004"/>
      <c r="BH199" s="1004"/>
      <c r="BI199" s="1004"/>
      <c r="BJ199" s="1004"/>
      <c r="BK199" s="1004"/>
      <c r="BL199" s="1004"/>
    </row>
    <row r="200" spans="2:64" s="682" customFormat="1" x14ac:dyDescent="0.2">
      <c r="B200" s="1263"/>
      <c r="C200" s="1263"/>
      <c r="D200" s="1263"/>
      <c r="E200" s="1263"/>
      <c r="F200" s="1263"/>
      <c r="G200" s="1263"/>
      <c r="H200" s="1263"/>
      <c r="I200" s="1263"/>
      <c r="J200" s="1263"/>
      <c r="K200" s="1263"/>
      <c r="L200" s="1263"/>
      <c r="M200" s="1263"/>
      <c r="N200" s="1263"/>
      <c r="O200" s="1263"/>
      <c r="P200" s="1263"/>
      <c r="Q200" s="1263"/>
      <c r="R200" s="1263"/>
      <c r="S200" s="1263"/>
      <c r="T200" s="1263"/>
      <c r="U200" s="1263"/>
      <c r="V200" s="1263"/>
      <c r="W200" s="1263"/>
      <c r="X200" s="792"/>
      <c r="Y200" s="792"/>
      <c r="Z200" s="792"/>
      <c r="AG200" s="792"/>
      <c r="AH200" s="792"/>
      <c r="AI200" s="792"/>
      <c r="AJ200" s="792"/>
      <c r="AK200" s="792"/>
      <c r="AL200" s="792"/>
      <c r="AM200" s="792"/>
      <c r="AN200" s="792"/>
      <c r="AO200" s="792"/>
      <c r="AP200" s="1004"/>
      <c r="AQ200" s="1004"/>
      <c r="AR200" s="1004"/>
      <c r="AS200" s="1004"/>
      <c r="AT200" s="1004"/>
      <c r="AU200" s="1004"/>
      <c r="AV200" s="1004"/>
      <c r="AW200" s="1004"/>
      <c r="AX200" s="1004"/>
      <c r="AY200" s="1004"/>
      <c r="AZ200" s="1004"/>
      <c r="BA200" s="1004"/>
      <c r="BB200" s="1004"/>
      <c r="BC200" s="1004"/>
      <c r="BD200" s="1004"/>
      <c r="BE200" s="1004"/>
      <c r="BF200" s="1004"/>
      <c r="BG200" s="1004"/>
      <c r="BH200" s="1004"/>
      <c r="BI200" s="1004"/>
      <c r="BJ200" s="1004"/>
      <c r="BK200" s="1004"/>
      <c r="BL200" s="1004"/>
    </row>
    <row r="201" spans="2:64" s="682" customFormat="1" x14ac:dyDescent="0.2">
      <c r="B201" s="1263"/>
      <c r="C201" s="1263"/>
      <c r="D201" s="1263"/>
      <c r="E201" s="1263"/>
      <c r="F201" s="1263"/>
      <c r="G201" s="1263"/>
      <c r="H201" s="1263"/>
      <c r="I201" s="1263"/>
      <c r="J201" s="1263"/>
      <c r="K201" s="1263"/>
      <c r="L201" s="1263"/>
      <c r="M201" s="1263"/>
      <c r="N201" s="1263"/>
      <c r="O201" s="1263"/>
      <c r="P201" s="1263"/>
      <c r="Q201" s="1263"/>
      <c r="R201" s="1263"/>
      <c r="S201" s="1263"/>
      <c r="T201" s="1263"/>
      <c r="U201" s="1263"/>
      <c r="V201" s="1263"/>
      <c r="W201" s="1263"/>
      <c r="X201" s="792"/>
      <c r="Y201" s="792"/>
      <c r="Z201" s="792"/>
      <c r="AG201" s="792"/>
      <c r="AH201" s="792"/>
      <c r="AI201" s="792"/>
      <c r="AJ201" s="792"/>
      <c r="AK201" s="792"/>
      <c r="AL201" s="792"/>
      <c r="AM201" s="792"/>
      <c r="AN201" s="792"/>
      <c r="AO201" s="792"/>
      <c r="AP201" s="1004"/>
      <c r="AQ201" s="1004"/>
      <c r="AR201" s="1004"/>
      <c r="AS201" s="1004"/>
      <c r="AT201" s="1004"/>
      <c r="AU201" s="1004"/>
      <c r="AV201" s="1004"/>
      <c r="AW201" s="1004"/>
      <c r="AX201" s="1004"/>
      <c r="AY201" s="1004"/>
      <c r="AZ201" s="1004"/>
      <c r="BA201" s="1004"/>
      <c r="BB201" s="1004"/>
      <c r="BC201" s="1004"/>
      <c r="BD201" s="1004"/>
      <c r="BE201" s="1004"/>
      <c r="BF201" s="1004"/>
      <c r="BG201" s="1004"/>
      <c r="BH201" s="1004"/>
      <c r="BI201" s="1004"/>
      <c r="BJ201" s="1004"/>
      <c r="BK201" s="1004"/>
      <c r="BL201" s="1004"/>
    </row>
    <row r="202" spans="2:64" s="682" customFormat="1" x14ac:dyDescent="0.2">
      <c r="B202" s="1263"/>
      <c r="C202" s="1263"/>
      <c r="D202" s="1263"/>
      <c r="E202" s="1263"/>
      <c r="F202" s="1263"/>
      <c r="G202" s="1263"/>
      <c r="H202" s="1263"/>
      <c r="I202" s="1263"/>
      <c r="J202" s="1263"/>
      <c r="K202" s="1263"/>
      <c r="L202" s="1263"/>
      <c r="M202" s="1263"/>
      <c r="N202" s="1263"/>
      <c r="O202" s="1263"/>
      <c r="P202" s="1263"/>
      <c r="Q202" s="1263"/>
      <c r="R202" s="1263"/>
      <c r="S202" s="1263"/>
      <c r="T202" s="1263"/>
      <c r="U202" s="1263"/>
      <c r="V202" s="1263"/>
      <c r="W202" s="1263"/>
      <c r="X202" s="792"/>
      <c r="Y202" s="792"/>
      <c r="Z202" s="792"/>
      <c r="AG202" s="792"/>
      <c r="AH202" s="792"/>
      <c r="AI202" s="792"/>
      <c r="AJ202" s="792"/>
      <c r="AK202" s="792"/>
      <c r="AL202" s="792"/>
      <c r="AM202" s="792"/>
      <c r="AN202" s="792"/>
      <c r="AO202" s="792"/>
      <c r="AP202" s="1004"/>
      <c r="AQ202" s="1004"/>
      <c r="AR202" s="1004"/>
      <c r="AS202" s="1004"/>
      <c r="AT202" s="1004"/>
      <c r="AU202" s="1004"/>
      <c r="AV202" s="1004"/>
      <c r="AW202" s="1004"/>
      <c r="AX202" s="1004"/>
      <c r="AY202" s="1004"/>
      <c r="AZ202" s="1004"/>
      <c r="BA202" s="1004"/>
      <c r="BB202" s="1004"/>
      <c r="BC202" s="1004"/>
      <c r="BD202" s="1004"/>
      <c r="BE202" s="1004"/>
      <c r="BF202" s="1004"/>
      <c r="BG202" s="1004"/>
      <c r="BH202" s="1004"/>
      <c r="BI202" s="1004"/>
      <c r="BJ202" s="1004"/>
      <c r="BK202" s="1004"/>
      <c r="BL202" s="1004"/>
    </row>
    <row r="203" spans="2:64" s="682" customFormat="1" x14ac:dyDescent="0.2">
      <c r="B203" s="1263"/>
      <c r="C203" s="1263"/>
      <c r="D203" s="1263"/>
      <c r="E203" s="1263"/>
      <c r="F203" s="1263"/>
      <c r="G203" s="1263"/>
      <c r="H203" s="1263"/>
      <c r="I203" s="1263"/>
      <c r="J203" s="1263"/>
      <c r="K203" s="1263"/>
      <c r="L203" s="1263"/>
      <c r="M203" s="1263"/>
      <c r="N203" s="1263"/>
      <c r="O203" s="1263"/>
      <c r="P203" s="1263"/>
      <c r="Q203" s="1263"/>
      <c r="R203" s="1263"/>
      <c r="S203" s="1263"/>
      <c r="T203" s="1263"/>
      <c r="U203" s="1263"/>
      <c r="V203" s="1263"/>
      <c r="W203" s="1263"/>
      <c r="X203" s="792"/>
      <c r="Y203" s="792"/>
      <c r="Z203" s="792"/>
      <c r="AG203" s="792"/>
      <c r="AH203" s="792"/>
      <c r="AI203" s="792"/>
      <c r="AJ203" s="792"/>
      <c r="AK203" s="792"/>
      <c r="AL203" s="792"/>
      <c r="AM203" s="792"/>
      <c r="AN203" s="792"/>
      <c r="AO203" s="792"/>
      <c r="AP203" s="1004"/>
      <c r="AQ203" s="1004"/>
      <c r="AR203" s="1004"/>
      <c r="AS203" s="1004"/>
      <c r="AT203" s="1004"/>
      <c r="AU203" s="1004"/>
      <c r="AV203" s="1004"/>
      <c r="AW203" s="1004"/>
      <c r="AX203" s="1004"/>
      <c r="AY203" s="1004"/>
      <c r="AZ203" s="1004"/>
      <c r="BA203" s="1004"/>
      <c r="BB203" s="1004"/>
      <c r="BC203" s="1004"/>
      <c r="BD203" s="1004"/>
      <c r="BE203" s="1004"/>
      <c r="BF203" s="1004"/>
      <c r="BG203" s="1004"/>
      <c r="BH203" s="1004"/>
      <c r="BI203" s="1004"/>
      <c r="BJ203" s="1004"/>
      <c r="BK203" s="1004"/>
      <c r="BL203" s="1004"/>
    </row>
    <row r="204" spans="2:64" s="682" customFormat="1" x14ac:dyDescent="0.2">
      <c r="B204" s="1263"/>
      <c r="C204" s="1263"/>
      <c r="D204" s="1263"/>
      <c r="E204" s="1263"/>
      <c r="F204" s="1263"/>
      <c r="G204" s="1263"/>
      <c r="H204" s="1263"/>
      <c r="I204" s="1263"/>
      <c r="J204" s="1263"/>
      <c r="K204" s="1263"/>
      <c r="L204" s="1263"/>
      <c r="M204" s="1263"/>
      <c r="N204" s="1263"/>
      <c r="O204" s="1263"/>
      <c r="P204" s="1263"/>
      <c r="Q204" s="1263"/>
      <c r="R204" s="1263"/>
      <c r="S204" s="1263"/>
      <c r="T204" s="1263"/>
      <c r="U204" s="1263"/>
      <c r="V204" s="1263"/>
      <c r="W204" s="1263"/>
      <c r="X204" s="792"/>
      <c r="Y204" s="792"/>
      <c r="Z204" s="792"/>
      <c r="AG204" s="792"/>
      <c r="AH204" s="792"/>
      <c r="AI204" s="792"/>
      <c r="AJ204" s="792"/>
      <c r="AK204" s="792"/>
      <c r="AL204" s="792"/>
      <c r="AM204" s="792"/>
      <c r="AN204" s="792"/>
      <c r="AO204" s="792"/>
      <c r="AP204" s="1004"/>
      <c r="AQ204" s="1004"/>
      <c r="AR204" s="1004"/>
      <c r="AS204" s="1004"/>
      <c r="AT204" s="1004"/>
      <c r="AU204" s="1004"/>
      <c r="AV204" s="1004"/>
      <c r="AW204" s="1004"/>
      <c r="AX204" s="1004"/>
      <c r="AY204" s="1004"/>
      <c r="AZ204" s="1004"/>
      <c r="BA204" s="1004"/>
      <c r="BB204" s="1004"/>
      <c r="BC204" s="1004"/>
      <c r="BD204" s="1004"/>
      <c r="BE204" s="1004"/>
      <c r="BF204" s="1004"/>
      <c r="BG204" s="1004"/>
      <c r="BH204" s="1004"/>
      <c r="BI204" s="1004"/>
      <c r="BJ204" s="1004"/>
      <c r="BK204" s="1004"/>
      <c r="BL204" s="1004"/>
    </row>
    <row r="205" spans="2:64" s="682" customFormat="1" x14ac:dyDescent="0.2">
      <c r="B205" s="1263"/>
      <c r="C205" s="1263"/>
      <c r="D205" s="1263"/>
      <c r="E205" s="1263"/>
      <c r="F205" s="1263"/>
      <c r="G205" s="1263"/>
      <c r="H205" s="1263"/>
      <c r="I205" s="1263"/>
      <c r="J205" s="1263"/>
      <c r="K205" s="1263"/>
      <c r="L205" s="1263"/>
      <c r="M205" s="1263"/>
      <c r="N205" s="1263"/>
      <c r="O205" s="1263"/>
      <c r="P205" s="1263"/>
      <c r="Q205" s="1263"/>
      <c r="R205" s="1263"/>
      <c r="S205" s="1263"/>
      <c r="T205" s="1263"/>
      <c r="U205" s="1263"/>
      <c r="V205" s="1263"/>
      <c r="W205" s="1263"/>
      <c r="X205" s="792"/>
      <c r="Y205" s="792"/>
      <c r="Z205" s="792"/>
      <c r="AG205" s="792"/>
      <c r="AH205" s="792"/>
      <c r="AI205" s="792"/>
      <c r="AJ205" s="792"/>
      <c r="AK205" s="792"/>
      <c r="AL205" s="792"/>
      <c r="AM205" s="792"/>
      <c r="AN205" s="792"/>
      <c r="AO205" s="792"/>
      <c r="AP205" s="1004"/>
      <c r="AQ205" s="1004"/>
      <c r="AR205" s="1004"/>
      <c r="AS205" s="1004"/>
      <c r="AT205" s="1004"/>
      <c r="AU205" s="1004"/>
      <c r="AV205" s="1004"/>
      <c r="AW205" s="1004"/>
      <c r="AX205" s="1004"/>
      <c r="AY205" s="1004"/>
      <c r="AZ205" s="1004"/>
      <c r="BA205" s="1004"/>
      <c r="BB205" s="1004"/>
      <c r="BC205" s="1004"/>
      <c r="BD205" s="1004"/>
      <c r="BE205" s="1004"/>
      <c r="BF205" s="1004"/>
      <c r="BG205" s="1004"/>
      <c r="BH205" s="1004"/>
      <c r="BI205" s="1004"/>
      <c r="BJ205" s="1004"/>
      <c r="BK205" s="1004"/>
      <c r="BL205" s="1004"/>
    </row>
    <row r="206" spans="2:64" s="682" customFormat="1" x14ac:dyDescent="0.2">
      <c r="B206" s="1263"/>
      <c r="C206" s="1263"/>
      <c r="D206" s="1263"/>
      <c r="E206" s="1263"/>
      <c r="F206" s="1263"/>
      <c r="G206" s="1263"/>
      <c r="H206" s="1263"/>
      <c r="I206" s="1263"/>
      <c r="J206" s="1263"/>
      <c r="K206" s="1263"/>
      <c r="L206" s="1263"/>
      <c r="M206" s="1263"/>
      <c r="N206" s="1263"/>
      <c r="O206" s="1263"/>
      <c r="P206" s="1263"/>
      <c r="Q206" s="1263"/>
      <c r="R206" s="1263"/>
      <c r="S206" s="1263"/>
      <c r="T206" s="1263"/>
      <c r="U206" s="1263"/>
      <c r="V206" s="1263"/>
      <c r="W206" s="1263"/>
      <c r="X206" s="792"/>
      <c r="Y206" s="792"/>
      <c r="Z206" s="792"/>
      <c r="AG206" s="792"/>
      <c r="AH206" s="792"/>
      <c r="AI206" s="792"/>
      <c r="AJ206" s="792"/>
      <c r="AK206" s="792"/>
      <c r="AL206" s="792"/>
      <c r="AM206" s="792"/>
      <c r="AN206" s="792"/>
      <c r="AO206" s="792"/>
      <c r="AP206" s="1004"/>
      <c r="AQ206" s="1004"/>
      <c r="AR206" s="1004"/>
      <c r="AS206" s="1004"/>
      <c r="AT206" s="1004"/>
      <c r="AU206" s="1004"/>
      <c r="AV206" s="1004"/>
      <c r="AW206" s="1004"/>
      <c r="AX206" s="1004"/>
      <c r="AY206" s="1004"/>
      <c r="AZ206" s="1004"/>
      <c r="BA206" s="1004"/>
      <c r="BB206" s="1004"/>
      <c r="BC206" s="1004"/>
      <c r="BD206" s="1004"/>
      <c r="BE206" s="1004"/>
      <c r="BF206" s="1004"/>
      <c r="BG206" s="1004"/>
      <c r="BH206" s="1004"/>
      <c r="BI206" s="1004"/>
      <c r="BJ206" s="1004"/>
      <c r="BK206" s="1004"/>
      <c r="BL206" s="1004"/>
    </row>
    <row r="207" spans="2:64" s="682" customFormat="1" x14ac:dyDescent="0.2">
      <c r="B207" s="1263"/>
      <c r="C207" s="1263"/>
      <c r="D207" s="1263"/>
      <c r="E207" s="1263"/>
      <c r="F207" s="1263"/>
      <c r="G207" s="1263"/>
      <c r="H207" s="1263"/>
      <c r="I207" s="1263"/>
      <c r="J207" s="1263"/>
      <c r="K207" s="1263"/>
      <c r="L207" s="1263"/>
      <c r="M207" s="1263"/>
      <c r="N207" s="1263"/>
      <c r="O207" s="1263"/>
      <c r="P207" s="1263"/>
      <c r="Q207" s="1263"/>
      <c r="R207" s="1263"/>
      <c r="S207" s="1263"/>
      <c r="T207" s="1263"/>
      <c r="U207" s="1263"/>
      <c r="V207" s="1263"/>
      <c r="W207" s="1263"/>
      <c r="X207" s="792"/>
      <c r="Y207" s="792"/>
      <c r="Z207" s="792"/>
      <c r="AG207" s="792"/>
      <c r="AH207" s="792"/>
      <c r="AI207" s="792"/>
      <c r="AJ207" s="792"/>
      <c r="AK207" s="792"/>
      <c r="AL207" s="792"/>
      <c r="AM207" s="792"/>
      <c r="AN207" s="792"/>
      <c r="AO207" s="792"/>
      <c r="AP207" s="1004"/>
      <c r="AQ207" s="1004"/>
      <c r="AR207" s="1004"/>
      <c r="AS207" s="1004"/>
      <c r="AT207" s="1004"/>
      <c r="AU207" s="1004"/>
      <c r="AV207" s="1004"/>
      <c r="AW207" s="1004"/>
      <c r="AX207" s="1004"/>
      <c r="AY207" s="1004"/>
      <c r="AZ207" s="1004"/>
      <c r="BA207" s="1004"/>
      <c r="BB207" s="1004"/>
      <c r="BC207" s="1004"/>
      <c r="BD207" s="1004"/>
      <c r="BE207" s="1004"/>
      <c r="BF207" s="1004"/>
      <c r="BG207" s="1004"/>
      <c r="BH207" s="1004"/>
      <c r="BI207" s="1004"/>
      <c r="BJ207" s="1004"/>
      <c r="BK207" s="1004"/>
      <c r="BL207" s="1004"/>
    </row>
    <row r="208" spans="2:64" s="682" customFormat="1" x14ac:dyDescent="0.2">
      <c r="B208" s="1263"/>
      <c r="C208" s="1263"/>
      <c r="D208" s="1263"/>
      <c r="E208" s="1263"/>
      <c r="F208" s="1263"/>
      <c r="G208" s="1263"/>
      <c r="H208" s="1263"/>
      <c r="I208" s="1263"/>
      <c r="J208" s="1263"/>
      <c r="K208" s="1263"/>
      <c r="L208" s="1263"/>
      <c r="M208" s="1263"/>
      <c r="N208" s="1263"/>
      <c r="O208" s="1263"/>
      <c r="P208" s="1263"/>
      <c r="Q208" s="1263"/>
      <c r="R208" s="1263"/>
      <c r="S208" s="1263"/>
      <c r="T208" s="1263"/>
      <c r="U208" s="1263"/>
      <c r="V208" s="1263"/>
      <c r="W208" s="1263"/>
      <c r="X208" s="792"/>
      <c r="Y208" s="792"/>
      <c r="Z208" s="792"/>
      <c r="AG208" s="792"/>
      <c r="AH208" s="792"/>
      <c r="AI208" s="792"/>
      <c r="AJ208" s="792"/>
      <c r="AK208" s="792"/>
      <c r="AL208" s="792"/>
      <c r="AM208" s="792"/>
      <c r="AN208" s="792"/>
      <c r="AO208" s="792"/>
      <c r="AP208" s="1004"/>
      <c r="AQ208" s="1004"/>
      <c r="AR208" s="1004"/>
      <c r="AS208" s="1004"/>
      <c r="AT208" s="1004"/>
      <c r="AU208" s="1004"/>
      <c r="AV208" s="1004"/>
      <c r="AW208" s="1004"/>
      <c r="AX208" s="1004"/>
      <c r="AY208" s="1004"/>
      <c r="AZ208" s="1004"/>
      <c r="BA208" s="1004"/>
      <c r="BB208" s="1004"/>
      <c r="BC208" s="1004"/>
      <c r="BD208" s="1004"/>
      <c r="BE208" s="1004"/>
      <c r="BF208" s="1004"/>
      <c r="BG208" s="1004"/>
      <c r="BH208" s="1004"/>
      <c r="BI208" s="1004"/>
      <c r="BJ208" s="1004"/>
      <c r="BK208" s="1004"/>
      <c r="BL208" s="1004"/>
    </row>
    <row r="209" spans="2:64" s="682" customFormat="1" x14ac:dyDescent="0.2">
      <c r="B209" s="1263"/>
      <c r="C209" s="1263"/>
      <c r="D209" s="1263"/>
      <c r="E209" s="1263"/>
      <c r="F209" s="1263"/>
      <c r="G209" s="1263"/>
      <c r="H209" s="1263"/>
      <c r="I209" s="1263"/>
      <c r="J209" s="1263"/>
      <c r="K209" s="1263"/>
      <c r="L209" s="1263"/>
      <c r="M209" s="1263"/>
      <c r="N209" s="1263"/>
      <c r="O209" s="1263"/>
      <c r="P209" s="1263"/>
      <c r="Q209" s="1263"/>
      <c r="R209" s="1263"/>
      <c r="S209" s="1263"/>
      <c r="T209" s="1263"/>
      <c r="U209" s="1263"/>
      <c r="V209" s="1263"/>
      <c r="W209" s="1263"/>
      <c r="X209" s="792"/>
      <c r="Y209" s="792"/>
      <c r="Z209" s="792"/>
      <c r="AG209" s="792"/>
      <c r="AH209" s="792"/>
      <c r="AI209" s="792"/>
      <c r="AJ209" s="792"/>
      <c r="AK209" s="792"/>
      <c r="AL209" s="792"/>
      <c r="AM209" s="792"/>
      <c r="AN209" s="792"/>
      <c r="AO209" s="792"/>
      <c r="AP209" s="1004"/>
      <c r="AQ209" s="1004"/>
      <c r="AR209" s="1004"/>
      <c r="AS209" s="1004"/>
      <c r="AT209" s="1004"/>
      <c r="AU209" s="1004"/>
      <c r="AV209" s="1004"/>
      <c r="AW209" s="1004"/>
      <c r="AX209" s="1004"/>
      <c r="AY209" s="1004"/>
      <c r="AZ209" s="1004"/>
      <c r="BA209" s="1004"/>
      <c r="BB209" s="1004"/>
      <c r="BC209" s="1004"/>
      <c r="BD209" s="1004"/>
      <c r="BE209" s="1004"/>
      <c r="BF209" s="1004"/>
      <c r="BG209" s="1004"/>
      <c r="BH209" s="1004"/>
      <c r="BI209" s="1004"/>
      <c r="BJ209" s="1004"/>
      <c r="BK209" s="1004"/>
      <c r="BL209" s="1004"/>
    </row>
    <row r="210" spans="2:64" s="1261" customFormat="1" x14ac:dyDescent="0.2">
      <c r="B210" s="1263"/>
      <c r="C210" s="1263"/>
      <c r="D210" s="1263"/>
      <c r="E210" s="1263"/>
      <c r="F210" s="1263"/>
      <c r="G210" s="1263"/>
      <c r="H210" s="1263"/>
      <c r="I210" s="1263"/>
      <c r="J210" s="1263"/>
      <c r="K210" s="1263"/>
      <c r="L210" s="1263"/>
      <c r="M210" s="1263"/>
      <c r="N210" s="1263"/>
      <c r="O210" s="1263"/>
      <c r="P210" s="1263"/>
      <c r="Q210" s="1263"/>
      <c r="R210" s="1263"/>
      <c r="S210" s="1263"/>
      <c r="T210" s="1263"/>
      <c r="U210" s="1263"/>
      <c r="V210" s="1263"/>
      <c r="W210" s="1263"/>
      <c r="X210" s="1019"/>
      <c r="Y210" s="1019"/>
      <c r="Z210" s="1019"/>
      <c r="AG210" s="1019"/>
      <c r="AH210" s="1019"/>
      <c r="AI210" s="1019"/>
      <c r="AJ210" s="1019"/>
      <c r="AK210" s="1019"/>
      <c r="AL210" s="1019"/>
      <c r="AM210" s="1019"/>
      <c r="AN210" s="1019"/>
      <c r="AO210" s="1019"/>
      <c r="AP210" s="1004"/>
      <c r="AQ210" s="1004"/>
      <c r="AR210" s="1004"/>
      <c r="AS210" s="1004"/>
      <c r="AT210" s="1004"/>
      <c r="AU210" s="1004"/>
      <c r="AV210" s="1004"/>
      <c r="AW210" s="1004"/>
      <c r="AX210" s="1004"/>
      <c r="AY210" s="1004"/>
      <c r="AZ210" s="1004"/>
      <c r="BA210" s="1004"/>
      <c r="BB210" s="1004"/>
      <c r="BC210" s="1004"/>
      <c r="BD210" s="1004"/>
      <c r="BE210" s="1004"/>
      <c r="BF210" s="1004"/>
      <c r="BG210" s="1004"/>
      <c r="BH210" s="1004"/>
      <c r="BI210" s="1004"/>
      <c r="BJ210" s="1004"/>
      <c r="BK210" s="1004"/>
      <c r="BL210" s="1004"/>
    </row>
    <row r="211" spans="2:64" s="682" customFormat="1" x14ac:dyDescent="0.2">
      <c r="B211" s="1263"/>
      <c r="C211" s="1263"/>
      <c r="D211" s="1263"/>
      <c r="E211" s="1263"/>
      <c r="F211" s="1263"/>
      <c r="G211" s="1263"/>
      <c r="H211" s="1263"/>
      <c r="I211" s="1263"/>
      <c r="J211" s="1263"/>
      <c r="K211" s="1263"/>
      <c r="L211" s="1263"/>
      <c r="M211" s="1263"/>
      <c r="N211" s="1263"/>
      <c r="O211" s="1263"/>
      <c r="P211" s="1263"/>
      <c r="Q211" s="1263"/>
      <c r="R211" s="1263"/>
      <c r="S211" s="1263"/>
      <c r="T211" s="1263"/>
      <c r="U211" s="1263"/>
      <c r="V211" s="1263"/>
      <c r="W211" s="1263"/>
      <c r="X211" s="792"/>
      <c r="Y211" s="792"/>
      <c r="Z211" s="792"/>
      <c r="AG211" s="792"/>
      <c r="AH211" s="792"/>
      <c r="AI211" s="792"/>
      <c r="AJ211" s="792"/>
      <c r="AK211" s="792"/>
      <c r="AL211" s="792"/>
      <c r="AM211" s="792"/>
      <c r="AN211" s="792"/>
      <c r="AO211" s="792"/>
      <c r="AP211" s="1004"/>
      <c r="AQ211" s="1004"/>
      <c r="AR211" s="1004"/>
      <c r="AS211" s="1004"/>
      <c r="AT211" s="1004"/>
      <c r="AU211" s="1004"/>
      <c r="AV211" s="1004"/>
      <c r="AW211" s="1004"/>
      <c r="AX211" s="1004"/>
      <c r="AY211" s="1004"/>
      <c r="AZ211" s="1004"/>
      <c r="BA211" s="1004"/>
      <c r="BB211" s="1004"/>
      <c r="BC211" s="1004"/>
      <c r="BD211" s="1004"/>
      <c r="BE211" s="1004"/>
      <c r="BF211" s="1004"/>
      <c r="BG211" s="1004"/>
      <c r="BH211" s="1004"/>
      <c r="BI211" s="1004"/>
      <c r="BJ211" s="1004"/>
      <c r="BK211" s="1004"/>
      <c r="BL211" s="1004"/>
    </row>
    <row r="212" spans="2:64" s="682" customFormat="1" x14ac:dyDescent="0.2">
      <c r="B212" s="1263"/>
      <c r="C212" s="1263"/>
      <c r="D212" s="1263"/>
      <c r="E212" s="1263"/>
      <c r="F212" s="1263"/>
      <c r="G212" s="1263"/>
      <c r="H212" s="1263"/>
      <c r="I212" s="1263"/>
      <c r="J212" s="1263"/>
      <c r="K212" s="1263"/>
      <c r="L212" s="1263"/>
      <c r="M212" s="1263"/>
      <c r="N212" s="1263"/>
      <c r="O212" s="1263"/>
      <c r="P212" s="1263"/>
      <c r="Q212" s="1263"/>
      <c r="R212" s="1263"/>
      <c r="S212" s="1263"/>
      <c r="T212" s="1263"/>
      <c r="U212" s="1263"/>
      <c r="V212" s="1263"/>
      <c r="W212" s="1263"/>
      <c r="X212" s="792"/>
      <c r="Y212" s="792"/>
      <c r="Z212" s="792"/>
      <c r="AG212" s="792"/>
      <c r="AH212" s="792"/>
      <c r="AI212" s="792"/>
      <c r="AJ212" s="792"/>
      <c r="AK212" s="792"/>
      <c r="AL212" s="792"/>
      <c r="AM212" s="792"/>
      <c r="AN212" s="792"/>
      <c r="AO212" s="792"/>
      <c r="AP212" s="1004"/>
      <c r="AQ212" s="1004"/>
      <c r="AR212" s="1004"/>
      <c r="AS212" s="1004"/>
      <c r="AT212" s="1004"/>
      <c r="AU212" s="1004"/>
      <c r="AV212" s="1004"/>
      <c r="AW212" s="1004"/>
      <c r="AX212" s="1004"/>
      <c r="AY212" s="1004"/>
      <c r="AZ212" s="1004"/>
      <c r="BA212" s="1004"/>
      <c r="BB212" s="1004"/>
      <c r="BC212" s="1004"/>
      <c r="BD212" s="1004"/>
      <c r="BE212" s="1004"/>
      <c r="BF212" s="1004"/>
      <c r="BG212" s="1004"/>
      <c r="BH212" s="1004"/>
      <c r="BI212" s="1004"/>
      <c r="BJ212" s="1004"/>
      <c r="BK212" s="1004"/>
      <c r="BL212" s="1004"/>
    </row>
    <row r="213" spans="2:64" s="682" customFormat="1" x14ac:dyDescent="0.2">
      <c r="B213" s="1263"/>
      <c r="C213" s="1263"/>
      <c r="D213" s="1263"/>
      <c r="E213" s="1263"/>
      <c r="F213" s="1263"/>
      <c r="G213" s="1263"/>
      <c r="H213" s="1263"/>
      <c r="I213" s="1263"/>
      <c r="J213" s="1263"/>
      <c r="K213" s="1263"/>
      <c r="L213" s="1263"/>
      <c r="M213" s="1263"/>
      <c r="N213" s="1263"/>
      <c r="O213" s="1263"/>
      <c r="P213" s="1263"/>
      <c r="Q213" s="1263"/>
      <c r="R213" s="1263"/>
      <c r="S213" s="1263"/>
      <c r="T213" s="1263"/>
      <c r="U213" s="1263"/>
      <c r="V213" s="1263"/>
      <c r="W213" s="1263"/>
      <c r="X213" s="792"/>
      <c r="Y213" s="792"/>
      <c r="Z213" s="792"/>
      <c r="AG213" s="792"/>
      <c r="AH213" s="792"/>
      <c r="AI213" s="792"/>
      <c r="AJ213" s="792"/>
      <c r="AK213" s="792"/>
      <c r="AL213" s="792"/>
      <c r="AM213" s="792"/>
      <c r="AN213" s="792"/>
      <c r="AO213" s="792"/>
      <c r="AP213" s="1004"/>
      <c r="AQ213" s="1004"/>
      <c r="AR213" s="1004"/>
      <c r="AS213" s="1004"/>
      <c r="AT213" s="1004"/>
      <c r="AU213" s="1004"/>
      <c r="AV213" s="1004"/>
      <c r="AW213" s="1004"/>
      <c r="AX213" s="1004"/>
      <c r="AY213" s="1004"/>
      <c r="AZ213" s="1004"/>
      <c r="BA213" s="1004"/>
      <c r="BB213" s="1004"/>
      <c r="BC213" s="1004"/>
      <c r="BD213" s="1004"/>
      <c r="BE213" s="1004"/>
      <c r="BF213" s="1004"/>
      <c r="BG213" s="1004"/>
      <c r="BH213" s="1004"/>
      <c r="BI213" s="1004"/>
      <c r="BJ213" s="1004"/>
      <c r="BK213" s="1004"/>
      <c r="BL213" s="1004"/>
    </row>
    <row r="214" spans="2:64" s="682" customFormat="1" x14ac:dyDescent="0.2">
      <c r="B214" s="1263"/>
      <c r="C214" s="1263"/>
      <c r="D214" s="1263"/>
      <c r="E214" s="1263"/>
      <c r="F214" s="1263"/>
      <c r="G214" s="1263"/>
      <c r="H214" s="1263"/>
      <c r="I214" s="1263"/>
      <c r="J214" s="1263"/>
      <c r="K214" s="1263"/>
      <c r="L214" s="1263"/>
      <c r="M214" s="1263"/>
      <c r="N214" s="1263"/>
      <c r="O214" s="1263"/>
      <c r="P214" s="1263"/>
      <c r="Q214" s="1263"/>
      <c r="R214" s="1263"/>
      <c r="S214" s="1263"/>
      <c r="T214" s="1263"/>
      <c r="U214" s="1263"/>
      <c r="V214" s="1263"/>
      <c r="W214" s="1263"/>
      <c r="X214" s="792"/>
      <c r="Y214" s="792"/>
      <c r="Z214" s="792"/>
      <c r="AG214" s="792"/>
      <c r="AH214" s="792"/>
      <c r="AI214" s="792"/>
      <c r="AJ214" s="792"/>
      <c r="AK214" s="792"/>
      <c r="AL214" s="792"/>
      <c r="AM214" s="792"/>
      <c r="AN214" s="792"/>
      <c r="AO214" s="792"/>
      <c r="AP214" s="1004"/>
      <c r="AQ214" s="1004"/>
      <c r="AR214" s="1004"/>
      <c r="AS214" s="1004"/>
      <c r="AT214" s="1004"/>
      <c r="AU214" s="1004"/>
      <c r="AV214" s="1004"/>
      <c r="AW214" s="1004"/>
      <c r="AX214" s="1004"/>
      <c r="AY214" s="1004"/>
      <c r="AZ214" s="1004"/>
      <c r="BA214" s="1004"/>
      <c r="BB214" s="1004"/>
      <c r="BC214" s="1004"/>
      <c r="BD214" s="1004"/>
      <c r="BE214" s="1004"/>
      <c r="BF214" s="1004"/>
      <c r="BG214" s="1004"/>
      <c r="BH214" s="1004"/>
      <c r="BI214" s="1004"/>
      <c r="BJ214" s="1004"/>
      <c r="BK214" s="1004"/>
      <c r="BL214" s="1004"/>
    </row>
    <row r="215" spans="2:64" s="1261" customFormat="1" x14ac:dyDescent="0.2">
      <c r="B215" s="1263"/>
      <c r="C215" s="1263"/>
      <c r="D215" s="1263"/>
      <c r="E215" s="1263"/>
      <c r="F215" s="1263"/>
      <c r="G215" s="1263"/>
      <c r="H215" s="1263"/>
      <c r="I215" s="1263"/>
      <c r="J215" s="1263"/>
      <c r="K215" s="1263"/>
      <c r="L215" s="1263"/>
      <c r="M215" s="1263"/>
      <c r="N215" s="1263"/>
      <c r="O215" s="1263"/>
      <c r="P215" s="1263"/>
      <c r="Q215" s="1263"/>
      <c r="R215" s="1263"/>
      <c r="S215" s="1263"/>
      <c r="T215" s="1263"/>
      <c r="U215" s="1263"/>
      <c r="V215" s="1263"/>
      <c r="W215" s="1263"/>
      <c r="X215" s="1019"/>
      <c r="Y215" s="1019"/>
      <c r="Z215" s="1019"/>
      <c r="AG215" s="1019"/>
      <c r="AH215" s="1019"/>
      <c r="AI215" s="1019"/>
      <c r="AJ215" s="1019"/>
      <c r="AK215" s="1019"/>
      <c r="AL215" s="1019"/>
      <c r="AM215" s="1019"/>
      <c r="AN215" s="1019"/>
      <c r="AO215" s="1019"/>
      <c r="AP215" s="1004"/>
      <c r="AQ215" s="1004"/>
      <c r="AR215" s="1004"/>
      <c r="AS215" s="1004"/>
      <c r="AT215" s="1004"/>
      <c r="AU215" s="1004"/>
      <c r="AV215" s="1004"/>
      <c r="AW215" s="1004"/>
      <c r="AX215" s="1004"/>
      <c r="AY215" s="1004"/>
      <c r="AZ215" s="1004"/>
      <c r="BA215" s="1004"/>
      <c r="BB215" s="1004"/>
      <c r="BC215" s="1004"/>
      <c r="BD215" s="1004"/>
      <c r="BE215" s="1004"/>
      <c r="BF215" s="1004"/>
      <c r="BG215" s="1004"/>
      <c r="BH215" s="1004"/>
      <c r="BI215" s="1004"/>
      <c r="BJ215" s="1004"/>
      <c r="BK215" s="1004"/>
      <c r="BL215" s="1004"/>
    </row>
    <row r="216" spans="2:64" s="682" customFormat="1" x14ac:dyDescent="0.2">
      <c r="B216" s="1263"/>
      <c r="C216" s="1263"/>
      <c r="D216" s="1263"/>
      <c r="E216" s="1263"/>
      <c r="F216" s="1263"/>
      <c r="G216" s="1263"/>
      <c r="H216" s="1263"/>
      <c r="I216" s="1263"/>
      <c r="J216" s="1263"/>
      <c r="K216" s="1263"/>
      <c r="L216" s="1263"/>
      <c r="M216" s="1263"/>
      <c r="N216" s="1263"/>
      <c r="O216" s="1263"/>
      <c r="P216" s="1263"/>
      <c r="Q216" s="1263"/>
      <c r="R216" s="1263"/>
      <c r="S216" s="1263"/>
      <c r="T216" s="1263"/>
      <c r="U216" s="1263"/>
      <c r="V216" s="1263"/>
      <c r="W216" s="1263"/>
      <c r="X216" s="792"/>
      <c r="Y216" s="792"/>
      <c r="Z216" s="792"/>
      <c r="AG216" s="792"/>
      <c r="AH216" s="792"/>
      <c r="AI216" s="792"/>
      <c r="AJ216" s="792"/>
      <c r="AK216" s="792"/>
      <c r="AL216" s="792"/>
      <c r="AM216" s="792"/>
      <c r="AN216" s="792"/>
      <c r="AO216" s="792"/>
      <c r="AP216" s="1004"/>
      <c r="AQ216" s="1004"/>
      <c r="AR216" s="1004"/>
      <c r="AS216" s="1004"/>
      <c r="AT216" s="1004"/>
      <c r="AU216" s="1004"/>
      <c r="AV216" s="1004"/>
      <c r="AW216" s="1004"/>
      <c r="AX216" s="1004"/>
      <c r="AY216" s="1004"/>
      <c r="AZ216" s="1004"/>
      <c r="BA216" s="1004"/>
      <c r="BB216" s="1004"/>
      <c r="BC216" s="1004"/>
      <c r="BD216" s="1004"/>
      <c r="BE216" s="1004"/>
      <c r="BF216" s="1004"/>
      <c r="BG216" s="1004"/>
      <c r="BH216" s="1004"/>
      <c r="BI216" s="1004"/>
      <c r="BJ216" s="1004"/>
      <c r="BK216" s="1004"/>
      <c r="BL216" s="1004"/>
    </row>
    <row r="217" spans="2:64" s="682" customFormat="1" x14ac:dyDescent="0.2">
      <c r="B217" s="1263"/>
      <c r="C217" s="1263"/>
      <c r="D217" s="1263"/>
      <c r="E217" s="1263"/>
      <c r="F217" s="1263"/>
      <c r="G217" s="1263"/>
      <c r="H217" s="1263"/>
      <c r="I217" s="1263"/>
      <c r="J217" s="1263"/>
      <c r="K217" s="1263"/>
      <c r="L217" s="1263"/>
      <c r="M217" s="1263"/>
      <c r="N217" s="1263"/>
      <c r="O217" s="1263"/>
      <c r="P217" s="1263"/>
      <c r="Q217" s="1263"/>
      <c r="R217" s="1263"/>
      <c r="S217" s="1263"/>
      <c r="T217" s="1263"/>
      <c r="U217" s="1263"/>
      <c r="V217" s="1263"/>
      <c r="W217" s="1263"/>
      <c r="X217" s="792"/>
      <c r="Y217" s="792"/>
      <c r="Z217" s="792"/>
      <c r="AG217" s="792"/>
      <c r="AH217" s="792"/>
      <c r="AI217" s="792"/>
      <c r="AJ217" s="792"/>
      <c r="AK217" s="792"/>
      <c r="AL217" s="792"/>
      <c r="AM217" s="792"/>
      <c r="AN217" s="792"/>
      <c r="AO217" s="792"/>
      <c r="AP217" s="1004"/>
      <c r="AQ217" s="1004"/>
      <c r="AR217" s="1004"/>
      <c r="AS217" s="1004"/>
      <c r="AT217" s="1004"/>
      <c r="AU217" s="1004"/>
      <c r="AV217" s="1004"/>
      <c r="AW217" s="1004"/>
      <c r="AX217" s="1004"/>
      <c r="AY217" s="1004"/>
      <c r="AZ217" s="1004"/>
      <c r="BA217" s="1004"/>
      <c r="BB217" s="1004"/>
      <c r="BC217" s="1004"/>
      <c r="BD217" s="1004"/>
      <c r="BE217" s="1004"/>
      <c r="BF217" s="1004"/>
      <c r="BG217" s="1004"/>
      <c r="BH217" s="1004"/>
      <c r="BI217" s="1004"/>
      <c r="BJ217" s="1004"/>
      <c r="BK217" s="1004"/>
      <c r="BL217" s="1004"/>
    </row>
    <row r="218" spans="2:64" s="682" customFormat="1" x14ac:dyDescent="0.2">
      <c r="B218" s="1263"/>
      <c r="C218" s="1263"/>
      <c r="D218" s="1263"/>
      <c r="E218" s="1263"/>
      <c r="F218" s="1263"/>
      <c r="G218" s="1263"/>
      <c r="H218" s="1263"/>
      <c r="I218" s="1263"/>
      <c r="J218" s="1263"/>
      <c r="K218" s="1263"/>
      <c r="L218" s="1263"/>
      <c r="M218" s="1263"/>
      <c r="N218" s="1263"/>
      <c r="O218" s="1263"/>
      <c r="P218" s="1263"/>
      <c r="Q218" s="1263"/>
      <c r="R218" s="1263"/>
      <c r="S218" s="1263"/>
      <c r="T218" s="1263"/>
      <c r="U218" s="1263"/>
      <c r="V218" s="1263"/>
      <c r="W218" s="1263"/>
      <c r="X218" s="792"/>
      <c r="Y218" s="792"/>
      <c r="Z218" s="792"/>
      <c r="AG218" s="792"/>
      <c r="AH218" s="792"/>
      <c r="AI218" s="792"/>
      <c r="AJ218" s="792"/>
      <c r="AK218" s="792"/>
      <c r="AL218" s="792"/>
      <c r="AM218" s="792"/>
      <c r="AN218" s="792"/>
      <c r="AO218" s="792"/>
      <c r="AP218" s="1004"/>
      <c r="AQ218" s="1004"/>
      <c r="AR218" s="1004"/>
      <c r="AS218" s="1004"/>
      <c r="AT218" s="1004"/>
      <c r="AU218" s="1004"/>
      <c r="AV218" s="1004"/>
      <c r="AW218" s="1004"/>
      <c r="AX218" s="1004"/>
      <c r="AY218" s="1004"/>
      <c r="AZ218" s="1004"/>
      <c r="BA218" s="1004"/>
      <c r="BB218" s="1004"/>
      <c r="BC218" s="1004"/>
      <c r="BD218" s="1004"/>
      <c r="BE218" s="1004"/>
      <c r="BF218" s="1004"/>
      <c r="BG218" s="1004"/>
      <c r="BH218" s="1004"/>
      <c r="BI218" s="1004"/>
      <c r="BJ218" s="1004"/>
      <c r="BK218" s="1004"/>
      <c r="BL218" s="1004"/>
    </row>
    <row r="219" spans="2:64" s="682" customFormat="1" x14ac:dyDescent="0.2">
      <c r="B219" s="1263"/>
      <c r="C219" s="1263"/>
      <c r="D219" s="1263"/>
      <c r="E219" s="1263"/>
      <c r="F219" s="1263"/>
      <c r="G219" s="1263"/>
      <c r="H219" s="1263"/>
      <c r="I219" s="1263"/>
      <c r="J219" s="1263"/>
      <c r="K219" s="1263"/>
      <c r="L219" s="1263"/>
      <c r="M219" s="1263"/>
      <c r="N219" s="1263"/>
      <c r="O219" s="1263"/>
      <c r="P219" s="1263"/>
      <c r="Q219" s="1263"/>
      <c r="R219" s="1263"/>
      <c r="S219" s="1263"/>
      <c r="T219" s="1263"/>
      <c r="U219" s="1263"/>
      <c r="V219" s="1263"/>
      <c r="W219" s="1263"/>
      <c r="X219" s="792"/>
      <c r="Y219" s="792"/>
      <c r="Z219" s="792"/>
      <c r="AG219" s="792"/>
      <c r="AH219" s="792"/>
      <c r="AI219" s="792"/>
      <c r="AJ219" s="792"/>
      <c r="AK219" s="792"/>
      <c r="AL219" s="792"/>
      <c r="AM219" s="792"/>
      <c r="AN219" s="792"/>
      <c r="AO219" s="792"/>
      <c r="AP219" s="1004"/>
      <c r="AQ219" s="1004"/>
      <c r="AR219" s="1004"/>
      <c r="AS219" s="1004"/>
      <c r="AT219" s="1004"/>
      <c r="AU219" s="1004"/>
      <c r="AV219" s="1004"/>
      <c r="AW219" s="1004"/>
      <c r="AX219" s="1004"/>
      <c r="AY219" s="1004"/>
      <c r="AZ219" s="1004"/>
      <c r="BA219" s="1004"/>
      <c r="BB219" s="1004"/>
      <c r="BC219" s="1004"/>
      <c r="BD219" s="1004"/>
      <c r="BE219" s="1004"/>
      <c r="BF219" s="1004"/>
      <c r="BG219" s="1004"/>
      <c r="BH219" s="1004"/>
      <c r="BI219" s="1004"/>
      <c r="BJ219" s="1004"/>
      <c r="BK219" s="1004"/>
      <c r="BL219" s="1004"/>
    </row>
    <row r="220" spans="2:64" s="1261" customFormat="1" x14ac:dyDescent="0.2">
      <c r="B220" s="1263"/>
      <c r="C220" s="1263"/>
      <c r="D220" s="1263"/>
      <c r="E220" s="1263"/>
      <c r="F220" s="1263"/>
      <c r="G220" s="1263"/>
      <c r="H220" s="1263"/>
      <c r="I220" s="1263"/>
      <c r="J220" s="1263"/>
      <c r="K220" s="1263"/>
      <c r="L220" s="1263"/>
      <c r="M220" s="1263"/>
      <c r="N220" s="1263"/>
      <c r="O220" s="1263"/>
      <c r="P220" s="1263"/>
      <c r="Q220" s="1263"/>
      <c r="R220" s="1263"/>
      <c r="S220" s="1263"/>
      <c r="T220" s="1263"/>
      <c r="U220" s="1263"/>
      <c r="V220" s="1263"/>
      <c r="W220" s="1263"/>
      <c r="X220" s="1019"/>
      <c r="Y220" s="1019"/>
      <c r="Z220" s="1019"/>
      <c r="AG220" s="1019"/>
      <c r="AH220" s="1019"/>
      <c r="AI220" s="1019"/>
      <c r="AJ220" s="1019"/>
      <c r="AK220" s="1019"/>
      <c r="AL220" s="1019"/>
      <c r="AM220" s="1019"/>
      <c r="AN220" s="1019"/>
      <c r="AO220" s="1019"/>
      <c r="AP220" s="1004"/>
      <c r="AQ220" s="1004"/>
      <c r="AR220" s="1004"/>
      <c r="AS220" s="1004"/>
      <c r="AT220" s="1004"/>
      <c r="AU220" s="1004"/>
      <c r="AV220" s="1004"/>
      <c r="AW220" s="1004"/>
      <c r="AX220" s="1004"/>
      <c r="AY220" s="1004"/>
      <c r="AZ220" s="1004"/>
      <c r="BA220" s="1004"/>
      <c r="BB220" s="1004"/>
      <c r="BC220" s="1004"/>
      <c r="BD220" s="1004"/>
      <c r="BE220" s="1004"/>
      <c r="BF220" s="1004"/>
      <c r="BG220" s="1004"/>
      <c r="BH220" s="1004"/>
      <c r="BI220" s="1004"/>
      <c r="BJ220" s="1004"/>
      <c r="BK220" s="1004"/>
      <c r="BL220" s="1004"/>
    </row>
    <row r="221" spans="2:64" s="682" customFormat="1" x14ac:dyDescent="0.2">
      <c r="B221" s="1263"/>
      <c r="C221" s="1263"/>
      <c r="D221" s="1263"/>
      <c r="E221" s="1263"/>
      <c r="F221" s="1263"/>
      <c r="G221" s="1263"/>
      <c r="H221" s="1263"/>
      <c r="I221" s="1263"/>
      <c r="J221" s="1263"/>
      <c r="K221" s="1263"/>
      <c r="L221" s="1263"/>
      <c r="M221" s="1263"/>
      <c r="N221" s="1263"/>
      <c r="O221" s="1263"/>
      <c r="P221" s="1263"/>
      <c r="Q221" s="1263"/>
      <c r="R221" s="1263"/>
      <c r="S221" s="1263"/>
      <c r="T221" s="1263"/>
      <c r="U221" s="1263"/>
      <c r="V221" s="1263"/>
      <c r="W221" s="1263"/>
      <c r="X221" s="792"/>
      <c r="Y221" s="792"/>
      <c r="Z221" s="792"/>
      <c r="AG221" s="792"/>
      <c r="AH221" s="792"/>
      <c r="AI221" s="792"/>
      <c r="AJ221" s="792"/>
      <c r="AK221" s="792"/>
      <c r="AL221" s="792"/>
      <c r="AM221" s="792"/>
      <c r="AN221" s="792"/>
      <c r="AO221" s="792"/>
      <c r="AP221" s="1004"/>
      <c r="AQ221" s="1004"/>
      <c r="AR221" s="1004"/>
      <c r="AS221" s="1004"/>
      <c r="AT221" s="1004"/>
      <c r="AU221" s="1004"/>
      <c r="AV221" s="1004"/>
      <c r="AW221" s="1004"/>
      <c r="AX221" s="1004"/>
      <c r="AY221" s="1004"/>
      <c r="AZ221" s="1004"/>
      <c r="BA221" s="1004"/>
      <c r="BB221" s="1004"/>
      <c r="BC221" s="1004"/>
      <c r="BD221" s="1004"/>
      <c r="BE221" s="1004"/>
      <c r="BF221" s="1004"/>
      <c r="BG221" s="1004"/>
      <c r="BH221" s="1004"/>
      <c r="BI221" s="1004"/>
      <c r="BJ221" s="1004"/>
      <c r="BK221" s="1004"/>
      <c r="BL221" s="1004"/>
    </row>
    <row r="222" spans="2:64" s="682" customFormat="1" x14ac:dyDescent="0.2">
      <c r="B222" s="1263"/>
      <c r="C222" s="1263"/>
      <c r="D222" s="1263"/>
      <c r="E222" s="1263"/>
      <c r="F222" s="1263"/>
      <c r="G222" s="1263"/>
      <c r="H222" s="1263"/>
      <c r="I222" s="1263"/>
      <c r="J222" s="1263"/>
      <c r="K222" s="1263"/>
      <c r="L222" s="1263"/>
      <c r="M222" s="1263"/>
      <c r="N222" s="1263"/>
      <c r="O222" s="1263"/>
      <c r="P222" s="1263"/>
      <c r="Q222" s="1263"/>
      <c r="R222" s="1263"/>
      <c r="S222" s="1263"/>
      <c r="T222" s="1263"/>
      <c r="U222" s="1263"/>
      <c r="V222" s="1263"/>
      <c r="W222" s="1263"/>
      <c r="X222" s="792"/>
      <c r="Y222" s="792"/>
      <c r="Z222" s="792"/>
      <c r="AG222" s="792"/>
      <c r="AH222" s="792"/>
      <c r="AI222" s="792"/>
      <c r="AJ222" s="792"/>
      <c r="AK222" s="792"/>
      <c r="AL222" s="792"/>
      <c r="AM222" s="792"/>
      <c r="AN222" s="792"/>
      <c r="AO222" s="792"/>
      <c r="AP222" s="1004"/>
      <c r="AQ222" s="1004"/>
      <c r="AR222" s="1004"/>
      <c r="AS222" s="1004"/>
      <c r="AT222" s="1004"/>
      <c r="AU222" s="1004"/>
      <c r="AV222" s="1004"/>
      <c r="AW222" s="1004"/>
      <c r="AX222" s="1004"/>
      <c r="AY222" s="1004"/>
      <c r="AZ222" s="1004"/>
      <c r="BA222" s="1004"/>
      <c r="BB222" s="1004"/>
      <c r="BC222" s="1004"/>
      <c r="BD222" s="1004"/>
      <c r="BE222" s="1004"/>
      <c r="BF222" s="1004"/>
      <c r="BG222" s="1004"/>
      <c r="BH222" s="1004"/>
      <c r="BI222" s="1004"/>
      <c r="BJ222" s="1004"/>
      <c r="BK222" s="1004"/>
      <c r="BL222" s="1004"/>
    </row>
    <row r="223" spans="2:64" s="682" customFormat="1" x14ac:dyDescent="0.2">
      <c r="B223" s="1263"/>
      <c r="C223" s="1263"/>
      <c r="D223" s="1263"/>
      <c r="E223" s="1263"/>
      <c r="F223" s="1263"/>
      <c r="G223" s="1263"/>
      <c r="H223" s="1263"/>
      <c r="I223" s="1263"/>
      <c r="J223" s="1263"/>
      <c r="K223" s="1263"/>
      <c r="L223" s="1263"/>
      <c r="M223" s="1263"/>
      <c r="N223" s="1263"/>
      <c r="O223" s="1263"/>
      <c r="P223" s="1263"/>
      <c r="Q223" s="1263"/>
      <c r="R223" s="1263"/>
      <c r="S223" s="1263"/>
      <c r="T223" s="1263"/>
      <c r="U223" s="1263"/>
      <c r="V223" s="1263"/>
      <c r="W223" s="1263"/>
      <c r="X223" s="792"/>
      <c r="Y223" s="792"/>
      <c r="Z223" s="792"/>
      <c r="AG223" s="792"/>
      <c r="AH223" s="792"/>
      <c r="AI223" s="792"/>
      <c r="AJ223" s="792"/>
      <c r="AK223" s="792"/>
      <c r="AL223" s="792"/>
      <c r="AM223" s="792"/>
      <c r="AN223" s="792"/>
      <c r="AO223" s="792"/>
      <c r="AP223" s="1004"/>
      <c r="AQ223" s="1004"/>
      <c r="AR223" s="1004"/>
      <c r="AS223" s="1004"/>
      <c r="AT223" s="1004"/>
      <c r="AU223" s="1004"/>
      <c r="AV223" s="1004"/>
      <c r="AW223" s="1004"/>
      <c r="AX223" s="1004"/>
      <c r="AY223" s="1004"/>
      <c r="AZ223" s="1004"/>
      <c r="BA223" s="1004"/>
      <c r="BB223" s="1004"/>
      <c r="BC223" s="1004"/>
      <c r="BD223" s="1004"/>
      <c r="BE223" s="1004"/>
      <c r="BF223" s="1004"/>
      <c r="BG223" s="1004"/>
      <c r="BH223" s="1004"/>
      <c r="BI223" s="1004"/>
      <c r="BJ223" s="1004"/>
      <c r="BK223" s="1004"/>
      <c r="BL223" s="1004"/>
    </row>
    <row r="224" spans="2:64" s="682" customFormat="1" x14ac:dyDescent="0.2">
      <c r="B224" s="1263"/>
      <c r="C224" s="1263"/>
      <c r="D224" s="1263"/>
      <c r="E224" s="1263"/>
      <c r="F224" s="1263"/>
      <c r="G224" s="1263"/>
      <c r="H224" s="1263"/>
      <c r="I224" s="1263"/>
      <c r="J224" s="1263"/>
      <c r="K224" s="1263"/>
      <c r="L224" s="1263"/>
      <c r="M224" s="1263"/>
      <c r="N224" s="1263"/>
      <c r="O224" s="1263"/>
      <c r="P224" s="1263"/>
      <c r="Q224" s="1263"/>
      <c r="R224" s="1263"/>
      <c r="S224" s="1263"/>
      <c r="T224" s="1263"/>
      <c r="U224" s="1263"/>
      <c r="V224" s="1263"/>
      <c r="W224" s="1263"/>
      <c r="X224" s="792"/>
      <c r="Y224" s="792"/>
      <c r="Z224" s="792"/>
      <c r="AG224" s="792"/>
      <c r="AH224" s="792"/>
      <c r="AI224" s="792"/>
      <c r="AJ224" s="792"/>
      <c r="AK224" s="792"/>
      <c r="AL224" s="792"/>
      <c r="AM224" s="792"/>
      <c r="AN224" s="792"/>
      <c r="AO224" s="792"/>
      <c r="AP224" s="1004"/>
      <c r="AQ224" s="1004"/>
      <c r="AR224" s="1004"/>
      <c r="AS224" s="1004"/>
      <c r="AT224" s="1004"/>
      <c r="AU224" s="1004"/>
      <c r="AV224" s="1004"/>
      <c r="AW224" s="1004"/>
      <c r="AX224" s="1004"/>
      <c r="AY224" s="1004"/>
      <c r="AZ224" s="1004"/>
      <c r="BA224" s="1004"/>
      <c r="BB224" s="1004"/>
      <c r="BC224" s="1004"/>
      <c r="BD224" s="1004"/>
      <c r="BE224" s="1004"/>
      <c r="BF224" s="1004"/>
      <c r="BG224" s="1004"/>
      <c r="BH224" s="1004"/>
      <c r="BI224" s="1004"/>
      <c r="BJ224" s="1004"/>
      <c r="BK224" s="1004"/>
      <c r="BL224" s="1004"/>
    </row>
    <row r="225" spans="2:64" s="1261" customFormat="1" x14ac:dyDescent="0.2">
      <c r="B225" s="1263"/>
      <c r="C225" s="1263"/>
      <c r="D225" s="1263"/>
      <c r="E225" s="1263"/>
      <c r="F225" s="1263"/>
      <c r="G225" s="1263"/>
      <c r="H225" s="1263"/>
      <c r="I225" s="1263"/>
      <c r="J225" s="1263"/>
      <c r="K225" s="1263"/>
      <c r="L225" s="1263"/>
      <c r="M225" s="1263"/>
      <c r="N225" s="1263"/>
      <c r="O225" s="1263"/>
      <c r="P225" s="1263"/>
      <c r="Q225" s="1263"/>
      <c r="R225" s="1263"/>
      <c r="S225" s="1263"/>
      <c r="T225" s="1263"/>
      <c r="U225" s="1263"/>
      <c r="V225" s="1263"/>
      <c r="W225" s="1263"/>
      <c r="X225" s="1019"/>
      <c r="Y225" s="1019"/>
      <c r="Z225" s="1019"/>
      <c r="AG225" s="1019"/>
      <c r="AH225" s="1019"/>
      <c r="AI225" s="1019"/>
      <c r="AJ225" s="1019"/>
      <c r="AK225" s="1019"/>
      <c r="AL225" s="1019"/>
      <c r="AM225" s="1019"/>
      <c r="AN225" s="1019"/>
      <c r="AO225" s="1019"/>
      <c r="AP225" s="1004"/>
      <c r="AQ225" s="1004"/>
      <c r="AR225" s="1004"/>
      <c r="AS225" s="1004"/>
      <c r="AT225" s="1004"/>
      <c r="AU225" s="1004"/>
      <c r="AV225" s="1004"/>
      <c r="AW225" s="1004"/>
      <c r="AX225" s="1004"/>
      <c r="AY225" s="1004"/>
      <c r="AZ225" s="1004"/>
      <c r="BA225" s="1004"/>
      <c r="BB225" s="1004"/>
      <c r="BC225" s="1004"/>
      <c r="BD225" s="1004"/>
      <c r="BE225" s="1004"/>
      <c r="BF225" s="1004"/>
      <c r="BG225" s="1004"/>
      <c r="BH225" s="1004"/>
      <c r="BI225" s="1004"/>
      <c r="BJ225" s="1004"/>
      <c r="BK225" s="1004"/>
      <c r="BL225" s="1004"/>
    </row>
    <row r="226" spans="2:64" s="682" customFormat="1" x14ac:dyDescent="0.2">
      <c r="B226" s="1263"/>
      <c r="C226" s="1263"/>
      <c r="D226" s="1263"/>
      <c r="E226" s="1263"/>
      <c r="F226" s="1263"/>
      <c r="G226" s="1263"/>
      <c r="H226" s="1263"/>
      <c r="I226" s="1263"/>
      <c r="J226" s="1263"/>
      <c r="K226" s="1263"/>
      <c r="L226" s="1263"/>
      <c r="M226" s="1263"/>
      <c r="N226" s="1263"/>
      <c r="O226" s="1263"/>
      <c r="P226" s="1263"/>
      <c r="Q226" s="1263"/>
      <c r="R226" s="1263"/>
      <c r="S226" s="1263"/>
      <c r="T226" s="1263"/>
      <c r="U226" s="1263"/>
      <c r="V226" s="1263"/>
      <c r="W226" s="1263"/>
      <c r="X226" s="792"/>
      <c r="Y226" s="792"/>
      <c r="Z226" s="792"/>
      <c r="AG226" s="792"/>
      <c r="AH226" s="792"/>
      <c r="AI226" s="792"/>
      <c r="AJ226" s="792"/>
      <c r="AK226" s="792"/>
      <c r="AL226" s="792"/>
      <c r="AM226" s="792"/>
      <c r="AN226" s="792"/>
      <c r="AO226" s="792"/>
      <c r="AP226" s="1004"/>
      <c r="AQ226" s="1004"/>
      <c r="AR226" s="1004"/>
      <c r="AS226" s="1004"/>
      <c r="AT226" s="1004"/>
      <c r="AU226" s="1004"/>
      <c r="AV226" s="1004"/>
      <c r="AW226" s="1004"/>
      <c r="AX226" s="1004"/>
      <c r="AY226" s="1004"/>
      <c r="AZ226" s="1004"/>
      <c r="BA226" s="1004"/>
      <c r="BB226" s="1004"/>
      <c r="BC226" s="1004"/>
      <c r="BD226" s="1004"/>
      <c r="BE226" s="1004"/>
      <c r="BF226" s="1004"/>
      <c r="BG226" s="1004"/>
      <c r="BH226" s="1004"/>
      <c r="BI226" s="1004"/>
      <c r="BJ226" s="1004"/>
      <c r="BK226" s="1004"/>
      <c r="BL226" s="1004"/>
    </row>
    <row r="227" spans="2:64" s="682" customFormat="1" x14ac:dyDescent="0.2">
      <c r="B227" s="1263"/>
      <c r="C227" s="1263"/>
      <c r="D227" s="1263"/>
      <c r="E227" s="1263"/>
      <c r="F227" s="1263"/>
      <c r="G227" s="1263"/>
      <c r="H227" s="1263"/>
      <c r="I227" s="1263"/>
      <c r="J227" s="1263"/>
      <c r="K227" s="1263"/>
      <c r="L227" s="1263"/>
      <c r="M227" s="1263"/>
      <c r="N227" s="1263"/>
      <c r="O227" s="1263"/>
      <c r="P227" s="1263"/>
      <c r="Q227" s="1263"/>
      <c r="R227" s="1263"/>
      <c r="S227" s="1263"/>
      <c r="T227" s="1263"/>
      <c r="U227" s="1263"/>
      <c r="V227" s="1263"/>
      <c r="W227" s="1263"/>
      <c r="X227" s="792"/>
      <c r="Y227" s="792"/>
      <c r="Z227" s="792"/>
      <c r="AG227" s="792"/>
      <c r="AH227" s="792"/>
      <c r="AI227" s="792"/>
      <c r="AJ227" s="792"/>
      <c r="AK227" s="792"/>
      <c r="AL227" s="792"/>
      <c r="AM227" s="792"/>
      <c r="AN227" s="792"/>
      <c r="AO227" s="792"/>
      <c r="AP227" s="1004"/>
      <c r="AQ227" s="1004"/>
      <c r="AR227" s="1004"/>
      <c r="AS227" s="1004"/>
      <c r="AT227" s="1004"/>
      <c r="AU227" s="1004"/>
      <c r="AV227" s="1004"/>
      <c r="AW227" s="1004"/>
      <c r="AX227" s="1004"/>
      <c r="AY227" s="1004"/>
      <c r="AZ227" s="1004"/>
      <c r="BA227" s="1004"/>
      <c r="BB227" s="1004"/>
      <c r="BC227" s="1004"/>
      <c r="BD227" s="1004"/>
      <c r="BE227" s="1004"/>
      <c r="BF227" s="1004"/>
      <c r="BG227" s="1004"/>
      <c r="BH227" s="1004"/>
      <c r="BI227" s="1004"/>
      <c r="BJ227" s="1004"/>
      <c r="BK227" s="1004"/>
      <c r="BL227" s="1004"/>
    </row>
    <row r="228" spans="2:64" s="682" customFormat="1" x14ac:dyDescent="0.2">
      <c r="B228" s="1263"/>
      <c r="C228" s="1263"/>
      <c r="D228" s="1263"/>
      <c r="E228" s="1263"/>
      <c r="F228" s="1263"/>
      <c r="G228" s="1263"/>
      <c r="H228" s="1263"/>
      <c r="I228" s="1263"/>
      <c r="J228" s="1263"/>
      <c r="K228" s="1263"/>
      <c r="L228" s="1263"/>
      <c r="M228" s="1263"/>
      <c r="N228" s="1263"/>
      <c r="O228" s="1263"/>
      <c r="P228" s="1263"/>
      <c r="Q228" s="1263"/>
      <c r="R228" s="1263"/>
      <c r="S228" s="1263"/>
      <c r="T228" s="1263"/>
      <c r="U228" s="1263"/>
      <c r="V228" s="1263"/>
      <c r="W228" s="1263"/>
      <c r="X228" s="792"/>
      <c r="Y228" s="792"/>
      <c r="Z228" s="792"/>
      <c r="AG228" s="792"/>
      <c r="AH228" s="792"/>
      <c r="AI228" s="792"/>
      <c r="AJ228" s="792"/>
      <c r="AK228" s="792"/>
      <c r="AL228" s="792"/>
      <c r="AM228" s="792"/>
      <c r="AN228" s="792"/>
      <c r="AO228" s="792"/>
      <c r="AP228" s="1004"/>
      <c r="AQ228" s="1004"/>
      <c r="AR228" s="1004"/>
      <c r="AS228" s="1004"/>
      <c r="AT228" s="1004"/>
      <c r="AU228" s="1004"/>
      <c r="AV228" s="1004"/>
      <c r="AW228" s="1004"/>
      <c r="AX228" s="1004"/>
      <c r="AY228" s="1004"/>
      <c r="AZ228" s="1004"/>
      <c r="BA228" s="1004"/>
      <c r="BB228" s="1004"/>
      <c r="BC228" s="1004"/>
      <c r="BD228" s="1004"/>
      <c r="BE228" s="1004"/>
      <c r="BF228" s="1004"/>
      <c r="BG228" s="1004"/>
      <c r="BH228" s="1004"/>
      <c r="BI228" s="1004"/>
      <c r="BJ228" s="1004"/>
      <c r="BK228" s="1004"/>
      <c r="BL228" s="1004"/>
    </row>
    <row r="229" spans="2:64" s="682" customFormat="1" x14ac:dyDescent="0.2">
      <c r="B229" s="1263"/>
      <c r="C229" s="1263"/>
      <c r="D229" s="1263"/>
      <c r="E229" s="1263"/>
      <c r="F229" s="1263"/>
      <c r="G229" s="1263"/>
      <c r="H229" s="1263"/>
      <c r="I229" s="1263"/>
      <c r="J229" s="1263"/>
      <c r="K229" s="1263"/>
      <c r="L229" s="1263"/>
      <c r="M229" s="1263"/>
      <c r="N229" s="1263"/>
      <c r="O229" s="1263"/>
      <c r="P229" s="1263"/>
      <c r="Q229" s="1263"/>
      <c r="R229" s="1263"/>
      <c r="S229" s="1263"/>
      <c r="T229" s="1263"/>
      <c r="U229" s="1263"/>
      <c r="V229" s="1263"/>
      <c r="W229" s="1263"/>
      <c r="X229" s="792"/>
      <c r="Y229" s="792"/>
      <c r="Z229" s="792"/>
      <c r="AG229" s="792"/>
      <c r="AH229" s="792"/>
      <c r="AI229" s="792"/>
      <c r="AJ229" s="792"/>
      <c r="AK229" s="792"/>
      <c r="AL229" s="792"/>
      <c r="AM229" s="792"/>
      <c r="AN229" s="792"/>
      <c r="AO229" s="792"/>
      <c r="AP229" s="1004"/>
      <c r="AQ229" s="1004"/>
      <c r="AR229" s="1004"/>
      <c r="AS229" s="1004"/>
      <c r="AT229" s="1004"/>
      <c r="AU229" s="1004"/>
      <c r="AV229" s="1004"/>
      <c r="AW229" s="1004"/>
      <c r="AX229" s="1004"/>
      <c r="AY229" s="1004"/>
      <c r="AZ229" s="1004"/>
      <c r="BA229" s="1004"/>
      <c r="BB229" s="1004"/>
      <c r="BC229" s="1004"/>
      <c r="BD229" s="1004"/>
      <c r="BE229" s="1004"/>
      <c r="BF229" s="1004"/>
      <c r="BG229" s="1004"/>
      <c r="BH229" s="1004"/>
      <c r="BI229" s="1004"/>
      <c r="BJ229" s="1004"/>
      <c r="BK229" s="1004"/>
      <c r="BL229" s="1004"/>
    </row>
    <row r="230" spans="2:64" s="1261" customFormat="1" x14ac:dyDescent="0.2">
      <c r="B230" s="1263"/>
      <c r="C230" s="1263"/>
      <c r="D230" s="1263"/>
      <c r="E230" s="1263"/>
      <c r="F230" s="1263"/>
      <c r="G230" s="1263"/>
      <c r="H230" s="1263"/>
      <c r="I230" s="1263"/>
      <c r="J230" s="1263"/>
      <c r="K230" s="1263"/>
      <c r="L230" s="1263"/>
      <c r="M230" s="1263"/>
      <c r="N230" s="1263"/>
      <c r="O230" s="1263"/>
      <c r="P230" s="1263"/>
      <c r="Q230" s="1263"/>
      <c r="R230" s="1263"/>
      <c r="S230" s="1263"/>
      <c r="T230" s="1263"/>
      <c r="U230" s="1263"/>
      <c r="V230" s="1263"/>
      <c r="W230" s="1263"/>
      <c r="X230" s="1019"/>
      <c r="Y230" s="1019"/>
      <c r="Z230" s="1019"/>
      <c r="AG230" s="1019"/>
      <c r="AH230" s="1019"/>
      <c r="AI230" s="1019"/>
      <c r="AJ230" s="1019"/>
      <c r="AK230" s="1019"/>
      <c r="AL230" s="1019"/>
      <c r="AM230" s="1019"/>
      <c r="AN230" s="1019"/>
      <c r="AO230" s="1019"/>
      <c r="AP230" s="1004"/>
      <c r="AQ230" s="1004"/>
      <c r="AR230" s="1004"/>
      <c r="AS230" s="1004"/>
      <c r="AT230" s="1004"/>
      <c r="AU230" s="1004"/>
      <c r="AV230" s="1004"/>
      <c r="AW230" s="1004"/>
      <c r="AX230" s="1004"/>
      <c r="AY230" s="1004"/>
      <c r="AZ230" s="1004"/>
      <c r="BA230" s="1004"/>
      <c r="BB230" s="1004"/>
      <c r="BC230" s="1004"/>
      <c r="BD230" s="1004"/>
      <c r="BE230" s="1004"/>
      <c r="BF230" s="1004"/>
      <c r="BG230" s="1004"/>
      <c r="BH230" s="1004"/>
      <c r="BI230" s="1004"/>
      <c r="BJ230" s="1004"/>
      <c r="BK230" s="1004"/>
      <c r="BL230" s="1004"/>
    </row>
    <row r="231" spans="2:64" s="682" customFormat="1" x14ac:dyDescent="0.2">
      <c r="B231" s="1263"/>
      <c r="C231" s="1263"/>
      <c r="D231" s="1263"/>
      <c r="E231" s="1263"/>
      <c r="F231" s="1263"/>
      <c r="G231" s="1263"/>
      <c r="H231" s="1263"/>
      <c r="I231" s="1263"/>
      <c r="J231" s="1263"/>
      <c r="K231" s="1263"/>
      <c r="L231" s="1263"/>
      <c r="M231" s="1263"/>
      <c r="N231" s="1263"/>
      <c r="O231" s="1263"/>
      <c r="P231" s="1263"/>
      <c r="Q231" s="1263"/>
      <c r="R231" s="1263"/>
      <c r="S231" s="1263"/>
      <c r="T231" s="1263"/>
      <c r="U231" s="1263"/>
      <c r="V231" s="1263"/>
      <c r="W231" s="1263"/>
      <c r="X231" s="792"/>
      <c r="Y231" s="792"/>
      <c r="Z231" s="792"/>
      <c r="AG231" s="792"/>
      <c r="AH231" s="792"/>
      <c r="AI231" s="792"/>
      <c r="AJ231" s="792"/>
      <c r="AK231" s="792"/>
      <c r="AL231" s="792"/>
      <c r="AM231" s="792"/>
      <c r="AN231" s="792"/>
      <c r="AO231" s="792"/>
      <c r="AP231" s="1004"/>
      <c r="AQ231" s="1004"/>
      <c r="AR231" s="1004"/>
      <c r="AS231" s="1004"/>
      <c r="AT231" s="1004"/>
      <c r="AU231" s="1004"/>
      <c r="AV231" s="1004"/>
      <c r="AW231" s="1004"/>
      <c r="AX231" s="1004"/>
      <c r="AY231" s="1004"/>
      <c r="AZ231" s="1004"/>
      <c r="BA231" s="1004"/>
      <c r="BB231" s="1004"/>
      <c r="BC231" s="1004"/>
      <c r="BD231" s="1004"/>
      <c r="BE231" s="1004"/>
      <c r="BF231" s="1004"/>
      <c r="BG231" s="1004"/>
      <c r="BH231" s="1004"/>
      <c r="BI231" s="1004"/>
      <c r="BJ231" s="1004"/>
      <c r="BK231" s="1004"/>
      <c r="BL231" s="1004"/>
    </row>
    <row r="232" spans="2:64" s="682" customFormat="1" x14ac:dyDescent="0.2">
      <c r="B232" s="1263"/>
      <c r="C232" s="1263"/>
      <c r="D232" s="1263"/>
      <c r="E232" s="1263"/>
      <c r="F232" s="1263"/>
      <c r="G232" s="1263"/>
      <c r="H232" s="1263"/>
      <c r="I232" s="1263"/>
      <c r="J232" s="1263"/>
      <c r="K232" s="1263"/>
      <c r="L232" s="1263"/>
      <c r="M232" s="1263"/>
      <c r="N232" s="1263"/>
      <c r="O232" s="1263"/>
      <c r="P232" s="1263"/>
      <c r="Q232" s="1263"/>
      <c r="R232" s="1263"/>
      <c r="S232" s="1263"/>
      <c r="T232" s="1263"/>
      <c r="U232" s="1263"/>
      <c r="V232" s="1263"/>
      <c r="W232" s="1263"/>
      <c r="X232" s="792"/>
      <c r="Y232" s="792"/>
      <c r="Z232" s="792"/>
      <c r="AG232" s="792"/>
      <c r="AH232" s="792"/>
      <c r="AI232" s="792"/>
      <c r="AJ232" s="792"/>
      <c r="AK232" s="792"/>
      <c r="AL232" s="792"/>
      <c r="AM232" s="792"/>
      <c r="AN232" s="792"/>
      <c r="AO232" s="792"/>
      <c r="AP232" s="1004"/>
      <c r="AQ232" s="1004"/>
      <c r="AR232" s="1004"/>
      <c r="AS232" s="1004"/>
      <c r="AT232" s="1004"/>
      <c r="AU232" s="1004"/>
      <c r="AV232" s="1004"/>
      <c r="AW232" s="1004"/>
      <c r="AX232" s="1004"/>
      <c r="AY232" s="1004"/>
      <c r="AZ232" s="1004"/>
      <c r="BA232" s="1004"/>
      <c r="BB232" s="1004"/>
      <c r="BC232" s="1004"/>
      <c r="BD232" s="1004"/>
      <c r="BE232" s="1004"/>
      <c r="BF232" s="1004"/>
      <c r="BG232" s="1004"/>
      <c r="BH232" s="1004"/>
      <c r="BI232" s="1004"/>
      <c r="BJ232" s="1004"/>
      <c r="BK232" s="1004"/>
      <c r="BL232" s="1004"/>
    </row>
    <row r="233" spans="2:64" s="682" customFormat="1" x14ac:dyDescent="0.2">
      <c r="B233" s="1263"/>
      <c r="C233" s="1263"/>
      <c r="D233" s="1263"/>
      <c r="E233" s="1263"/>
      <c r="F233" s="1263"/>
      <c r="G233" s="1263"/>
      <c r="H233" s="1263"/>
      <c r="I233" s="1263"/>
      <c r="J233" s="1263"/>
      <c r="K233" s="1263"/>
      <c r="L233" s="1263"/>
      <c r="M233" s="1263"/>
      <c r="N233" s="1263"/>
      <c r="O233" s="1263"/>
      <c r="P233" s="1263"/>
      <c r="Q233" s="1263"/>
      <c r="R233" s="1263"/>
      <c r="S233" s="1263"/>
      <c r="T233" s="1263"/>
      <c r="U233" s="1263"/>
      <c r="V233" s="1263"/>
      <c r="W233" s="1263"/>
      <c r="X233" s="1019"/>
      <c r="Y233" s="1019"/>
      <c r="Z233" s="1019"/>
      <c r="AG233" s="1019"/>
      <c r="AH233" s="1019"/>
      <c r="AI233" s="1019"/>
      <c r="AJ233" s="1019"/>
      <c r="AK233" s="1019"/>
      <c r="AL233" s="1019"/>
      <c r="AM233" s="1019"/>
      <c r="AN233" s="1019"/>
      <c r="AO233" s="1019"/>
      <c r="AP233" s="1004"/>
      <c r="AQ233" s="1004"/>
      <c r="AR233" s="1004"/>
      <c r="AS233" s="1004"/>
      <c r="AT233" s="1004"/>
      <c r="AU233" s="1004"/>
      <c r="AV233" s="1004"/>
      <c r="AW233" s="1004"/>
      <c r="AX233" s="1004"/>
      <c r="AY233" s="1004"/>
      <c r="AZ233" s="1004"/>
      <c r="BA233" s="1004"/>
      <c r="BB233" s="1004"/>
      <c r="BC233" s="1004"/>
      <c r="BD233" s="1004"/>
      <c r="BE233" s="1004"/>
      <c r="BF233" s="1004"/>
      <c r="BG233" s="1004"/>
      <c r="BH233" s="1004"/>
      <c r="BI233" s="1004"/>
      <c r="BJ233" s="1004"/>
      <c r="BK233" s="1004"/>
      <c r="BL233" s="1004"/>
    </row>
    <row r="234" spans="2:64" s="682" customFormat="1" x14ac:dyDescent="0.2">
      <c r="B234" s="1263"/>
      <c r="C234" s="1263"/>
      <c r="D234" s="1263"/>
      <c r="E234" s="1263"/>
      <c r="F234" s="1263"/>
      <c r="G234" s="1263"/>
      <c r="H234" s="1263"/>
      <c r="I234" s="1263"/>
      <c r="J234" s="1263"/>
      <c r="K234" s="1263"/>
      <c r="L234" s="1263"/>
      <c r="M234" s="1263"/>
      <c r="N234" s="1263"/>
      <c r="O234" s="1263"/>
      <c r="P234" s="1263"/>
      <c r="Q234" s="1263"/>
      <c r="R234" s="1263"/>
      <c r="S234" s="1263"/>
      <c r="T234" s="1263"/>
      <c r="U234" s="1263"/>
      <c r="V234" s="1263"/>
      <c r="W234" s="1263"/>
      <c r="X234" s="1019"/>
      <c r="Y234" s="1019"/>
      <c r="Z234" s="1019"/>
      <c r="AG234" s="1019"/>
      <c r="AH234" s="1019"/>
      <c r="AI234" s="1019"/>
      <c r="AJ234" s="1019"/>
      <c r="AK234" s="1019"/>
      <c r="AL234" s="1019"/>
      <c r="AM234" s="1019"/>
      <c r="AN234" s="1019"/>
      <c r="AO234" s="1019"/>
      <c r="AP234" s="1004"/>
      <c r="AQ234" s="1004"/>
      <c r="AR234" s="1004"/>
      <c r="AS234" s="1004"/>
      <c r="AT234" s="1004"/>
      <c r="AU234" s="1004"/>
      <c r="AV234" s="1004"/>
      <c r="AW234" s="1004"/>
      <c r="AX234" s="1004"/>
      <c r="AY234" s="1004"/>
      <c r="AZ234" s="1004"/>
      <c r="BA234" s="1004"/>
      <c r="BB234" s="1004"/>
      <c r="BC234" s="1004"/>
      <c r="BD234" s="1004"/>
      <c r="BE234" s="1004"/>
      <c r="BF234" s="1004"/>
      <c r="BG234" s="1004"/>
      <c r="BH234" s="1004"/>
      <c r="BI234" s="1004"/>
      <c r="BJ234" s="1004"/>
      <c r="BK234" s="1004"/>
      <c r="BL234" s="1004"/>
    </row>
    <row r="235" spans="2:64" s="1261" customFormat="1" x14ac:dyDescent="0.2">
      <c r="B235" s="1263"/>
      <c r="C235" s="1263"/>
      <c r="D235" s="1263"/>
      <c r="E235" s="1263"/>
      <c r="F235" s="1263"/>
      <c r="G235" s="1263"/>
      <c r="H235" s="1263"/>
      <c r="I235" s="1263"/>
      <c r="J235" s="1263"/>
      <c r="K235" s="1263"/>
      <c r="L235" s="1263"/>
      <c r="M235" s="1263"/>
      <c r="N235" s="1263"/>
      <c r="O235" s="1263"/>
      <c r="P235" s="1263"/>
      <c r="Q235" s="1263"/>
      <c r="R235" s="1263"/>
      <c r="S235" s="1263"/>
      <c r="T235" s="1263"/>
      <c r="U235" s="1263"/>
      <c r="V235" s="1263"/>
      <c r="W235" s="1263"/>
      <c r="X235" s="1019"/>
      <c r="Y235" s="1019"/>
      <c r="Z235" s="1019"/>
      <c r="AG235" s="1019"/>
      <c r="AH235" s="1019"/>
      <c r="AI235" s="1019"/>
      <c r="AJ235" s="1019"/>
      <c r="AK235" s="1019"/>
      <c r="AL235" s="1019"/>
      <c r="AM235" s="1019"/>
      <c r="AN235" s="1019"/>
      <c r="AO235" s="1019"/>
      <c r="AP235" s="1004"/>
      <c r="AQ235" s="1004"/>
      <c r="AR235" s="1004"/>
      <c r="AS235" s="1004"/>
      <c r="AT235" s="1004"/>
      <c r="AU235" s="1004"/>
      <c r="AV235" s="1004"/>
      <c r="AW235" s="1004"/>
      <c r="AX235" s="1004"/>
      <c r="AY235" s="1004"/>
      <c r="AZ235" s="1004"/>
      <c r="BA235" s="1004"/>
      <c r="BB235" s="1004"/>
      <c r="BC235" s="1004"/>
      <c r="BD235" s="1004"/>
      <c r="BE235" s="1004"/>
      <c r="BF235" s="1004"/>
      <c r="BG235" s="1004"/>
      <c r="BH235" s="1004"/>
      <c r="BI235" s="1004"/>
      <c r="BJ235" s="1004"/>
      <c r="BK235" s="1004"/>
      <c r="BL235" s="1004"/>
    </row>
    <row r="236" spans="2:64" s="682" customFormat="1" x14ac:dyDescent="0.2">
      <c r="B236" s="1263"/>
      <c r="C236" s="1263"/>
      <c r="D236" s="1263"/>
      <c r="E236" s="1263"/>
      <c r="F236" s="1263"/>
      <c r="G236" s="1263"/>
      <c r="H236" s="1263"/>
      <c r="I236" s="1263"/>
      <c r="J236" s="1263"/>
      <c r="K236" s="1263"/>
      <c r="L236" s="1263"/>
      <c r="M236" s="1263"/>
      <c r="N236" s="1263"/>
      <c r="O236" s="1263"/>
      <c r="P236" s="1263"/>
      <c r="Q236" s="1263"/>
      <c r="R236" s="1263"/>
      <c r="S236" s="1263"/>
      <c r="T236" s="1263"/>
      <c r="U236" s="1263"/>
      <c r="V236" s="1263"/>
      <c r="W236" s="1263"/>
      <c r="X236" s="792"/>
      <c r="Y236" s="792"/>
      <c r="Z236" s="792"/>
      <c r="AG236" s="792"/>
      <c r="AH236" s="792"/>
      <c r="AI236" s="792"/>
      <c r="AJ236" s="792"/>
      <c r="AK236" s="792"/>
      <c r="AL236" s="792"/>
      <c r="AM236" s="792"/>
      <c r="AN236" s="792"/>
      <c r="AO236" s="792"/>
      <c r="AP236" s="1004"/>
      <c r="AQ236" s="1004"/>
      <c r="AR236" s="1004"/>
      <c r="AS236" s="1004"/>
      <c r="AT236" s="1004"/>
      <c r="AU236" s="1004"/>
      <c r="AV236" s="1004"/>
      <c r="AW236" s="1004"/>
      <c r="AX236" s="1004"/>
      <c r="AY236" s="1004"/>
      <c r="AZ236" s="1004"/>
      <c r="BA236" s="1004"/>
      <c r="BB236" s="1004"/>
      <c r="BC236" s="1004"/>
      <c r="BD236" s="1004"/>
      <c r="BE236" s="1004"/>
      <c r="BF236" s="1004"/>
      <c r="BG236" s="1004"/>
      <c r="BH236" s="1004"/>
      <c r="BI236" s="1004"/>
      <c r="BJ236" s="1004"/>
      <c r="BK236" s="1004"/>
      <c r="BL236" s="1004"/>
    </row>
    <row r="237" spans="2:64" s="682" customFormat="1" x14ac:dyDescent="0.2">
      <c r="B237" s="1263"/>
      <c r="C237" s="1263"/>
      <c r="D237" s="1263"/>
      <c r="E237" s="1263"/>
      <c r="F237" s="1263"/>
      <c r="G237" s="1263"/>
      <c r="H237" s="1263"/>
      <c r="I237" s="1263"/>
      <c r="J237" s="1263"/>
      <c r="K237" s="1263"/>
      <c r="L237" s="1263"/>
      <c r="M237" s="1263"/>
      <c r="N237" s="1263"/>
      <c r="O237" s="1263"/>
      <c r="P237" s="1263"/>
      <c r="Q237" s="1263"/>
      <c r="R237" s="1263"/>
      <c r="S237" s="1263"/>
      <c r="T237" s="1263"/>
      <c r="U237" s="1263"/>
      <c r="V237" s="1263"/>
      <c r="W237" s="1263"/>
      <c r="X237" s="792"/>
      <c r="Y237" s="792"/>
      <c r="Z237" s="792"/>
      <c r="AG237" s="792"/>
      <c r="AH237" s="792"/>
      <c r="AI237" s="792"/>
      <c r="AJ237" s="792"/>
      <c r="AK237" s="792"/>
      <c r="AL237" s="792"/>
      <c r="AM237" s="792"/>
      <c r="AN237" s="792"/>
      <c r="AO237" s="792"/>
      <c r="AP237" s="1004"/>
      <c r="AQ237" s="1004"/>
      <c r="AR237" s="1004"/>
      <c r="AS237" s="1004"/>
      <c r="AT237" s="1004"/>
      <c r="AU237" s="1004"/>
      <c r="AV237" s="1004"/>
      <c r="AW237" s="1004"/>
      <c r="AX237" s="1004"/>
      <c r="AY237" s="1004"/>
      <c r="AZ237" s="1004"/>
      <c r="BA237" s="1004"/>
      <c r="BB237" s="1004"/>
      <c r="BC237" s="1004"/>
      <c r="BD237" s="1004"/>
      <c r="BE237" s="1004"/>
      <c r="BF237" s="1004"/>
      <c r="BG237" s="1004"/>
      <c r="BH237" s="1004"/>
      <c r="BI237" s="1004"/>
      <c r="BJ237" s="1004"/>
      <c r="BK237" s="1004"/>
      <c r="BL237" s="1004"/>
    </row>
    <row r="238" spans="2:64" s="682" customFormat="1" x14ac:dyDescent="0.2">
      <c r="B238" s="1263"/>
      <c r="C238" s="1263"/>
      <c r="D238" s="1263"/>
      <c r="E238" s="1263"/>
      <c r="F238" s="1263"/>
      <c r="G238" s="1263"/>
      <c r="H238" s="1263"/>
      <c r="I238" s="1263"/>
      <c r="J238" s="1263"/>
      <c r="K238" s="1263"/>
      <c r="L238" s="1263"/>
      <c r="M238" s="1263"/>
      <c r="N238" s="1263"/>
      <c r="O238" s="1263"/>
      <c r="P238" s="1263"/>
      <c r="Q238" s="1263"/>
      <c r="R238" s="1263"/>
      <c r="S238" s="1263"/>
      <c r="T238" s="1263"/>
      <c r="U238" s="1263"/>
      <c r="V238" s="1263"/>
      <c r="W238" s="1263"/>
      <c r="X238" s="792"/>
      <c r="Y238" s="792"/>
      <c r="Z238" s="792"/>
      <c r="AG238" s="792"/>
      <c r="AH238" s="792"/>
      <c r="AI238" s="792"/>
      <c r="AJ238" s="792"/>
      <c r="AK238" s="792"/>
      <c r="AL238" s="792"/>
      <c r="AM238" s="792"/>
      <c r="AN238" s="792"/>
      <c r="AO238" s="792"/>
      <c r="AP238" s="1004"/>
      <c r="AQ238" s="1004"/>
      <c r="AR238" s="1004"/>
      <c r="AS238" s="1004"/>
      <c r="AT238" s="1004"/>
      <c r="AU238" s="1004"/>
      <c r="AV238" s="1004"/>
      <c r="AW238" s="1004"/>
      <c r="AX238" s="1004"/>
      <c r="AY238" s="1004"/>
      <c r="AZ238" s="1004"/>
      <c r="BA238" s="1004"/>
      <c r="BB238" s="1004"/>
      <c r="BC238" s="1004"/>
      <c r="BD238" s="1004"/>
      <c r="BE238" s="1004"/>
      <c r="BF238" s="1004"/>
      <c r="BG238" s="1004"/>
      <c r="BH238" s="1004"/>
      <c r="BI238" s="1004"/>
      <c r="BJ238" s="1004"/>
      <c r="BK238" s="1004"/>
      <c r="BL238" s="1004"/>
    </row>
    <row r="239" spans="2:64" s="682" customFormat="1" x14ac:dyDescent="0.2">
      <c r="B239" s="1263"/>
      <c r="C239" s="1263"/>
      <c r="D239" s="1263"/>
      <c r="E239" s="1263"/>
      <c r="F239" s="1263"/>
      <c r="G239" s="1263"/>
      <c r="H239" s="1263"/>
      <c r="I239" s="1263"/>
      <c r="J239" s="1263"/>
      <c r="K239" s="1263"/>
      <c r="L239" s="1263"/>
      <c r="M239" s="1263"/>
      <c r="N239" s="1263"/>
      <c r="O239" s="1263"/>
      <c r="P239" s="1263"/>
      <c r="Q239" s="1263"/>
      <c r="R239" s="1263"/>
      <c r="S239" s="1263"/>
      <c r="T239" s="1263"/>
      <c r="U239" s="1263"/>
      <c r="V239" s="1263"/>
      <c r="W239" s="1263"/>
      <c r="X239" s="792"/>
      <c r="Y239" s="792"/>
      <c r="Z239" s="792"/>
      <c r="AG239" s="792"/>
      <c r="AH239" s="792"/>
      <c r="AI239" s="792"/>
      <c r="AJ239" s="792"/>
      <c r="AK239" s="792"/>
      <c r="AL239" s="792"/>
      <c r="AM239" s="792"/>
      <c r="AN239" s="792"/>
      <c r="AO239" s="792"/>
      <c r="AP239" s="1004"/>
      <c r="AQ239" s="1004"/>
      <c r="AR239" s="1004"/>
      <c r="AS239" s="1004"/>
      <c r="AT239" s="1004"/>
      <c r="AU239" s="1004"/>
      <c r="AV239" s="1004"/>
      <c r="AW239" s="1004"/>
      <c r="AX239" s="1004"/>
      <c r="AY239" s="1004"/>
      <c r="AZ239" s="1004"/>
      <c r="BA239" s="1004"/>
      <c r="BB239" s="1004"/>
      <c r="BC239" s="1004"/>
      <c r="BD239" s="1004"/>
      <c r="BE239" s="1004"/>
      <c r="BF239" s="1004"/>
      <c r="BG239" s="1004"/>
      <c r="BH239" s="1004"/>
      <c r="BI239" s="1004"/>
      <c r="BJ239" s="1004"/>
      <c r="BK239" s="1004"/>
      <c r="BL239" s="1004"/>
    </row>
    <row r="240" spans="2:64" s="682" customFormat="1" x14ac:dyDescent="0.2">
      <c r="B240" s="1263"/>
      <c r="C240" s="1263"/>
      <c r="D240" s="1263"/>
      <c r="E240" s="1263"/>
      <c r="F240" s="1263"/>
      <c r="G240" s="1263"/>
      <c r="H240" s="1263"/>
      <c r="I240" s="1263"/>
      <c r="J240" s="1263"/>
      <c r="K240" s="1263"/>
      <c r="L240" s="1263"/>
      <c r="M240" s="1263"/>
      <c r="N240" s="1263"/>
      <c r="O240" s="1263"/>
      <c r="P240" s="1263"/>
      <c r="Q240" s="1263"/>
      <c r="R240" s="1263"/>
      <c r="S240" s="1263"/>
      <c r="T240" s="1263"/>
      <c r="U240" s="1263"/>
      <c r="V240" s="1263"/>
      <c r="W240" s="1263"/>
      <c r="X240" s="792"/>
      <c r="Y240" s="792"/>
      <c r="Z240" s="792"/>
      <c r="AG240" s="792"/>
      <c r="AH240" s="792"/>
      <c r="AI240" s="792"/>
      <c r="AJ240" s="792"/>
      <c r="AK240" s="792"/>
      <c r="AL240" s="792"/>
      <c r="AM240" s="792"/>
      <c r="AN240" s="792"/>
      <c r="AO240" s="792"/>
      <c r="AP240" s="1004"/>
      <c r="AQ240" s="1004"/>
      <c r="AR240" s="1004"/>
      <c r="AS240" s="1004"/>
      <c r="AT240" s="1004"/>
      <c r="AU240" s="1004"/>
      <c r="AV240" s="1004"/>
      <c r="AW240" s="1004"/>
      <c r="AX240" s="1004"/>
      <c r="AY240" s="1004"/>
      <c r="AZ240" s="1004"/>
      <c r="BA240" s="1004"/>
      <c r="BB240" s="1004"/>
      <c r="BC240" s="1004"/>
      <c r="BD240" s="1004"/>
      <c r="BE240" s="1004"/>
      <c r="BF240" s="1004"/>
      <c r="BG240" s="1004"/>
      <c r="BH240" s="1004"/>
      <c r="BI240" s="1004"/>
      <c r="BJ240" s="1004"/>
      <c r="BK240" s="1004"/>
      <c r="BL240" s="1004"/>
    </row>
    <row r="241" spans="2:64" s="682" customFormat="1" x14ac:dyDescent="0.2">
      <c r="B241" s="1263"/>
      <c r="C241" s="1263"/>
      <c r="D241" s="1263"/>
      <c r="E241" s="1263"/>
      <c r="F241" s="1263"/>
      <c r="G241" s="1263"/>
      <c r="H241" s="1263"/>
      <c r="I241" s="1263"/>
      <c r="J241" s="1263"/>
      <c r="K241" s="1263"/>
      <c r="L241" s="1263"/>
      <c r="M241" s="1263"/>
      <c r="N241" s="1263"/>
      <c r="O241" s="1263"/>
      <c r="P241" s="1263"/>
      <c r="Q241" s="1263"/>
      <c r="R241" s="1263"/>
      <c r="S241" s="1263"/>
      <c r="T241" s="1263"/>
      <c r="U241" s="1263"/>
      <c r="V241" s="1263"/>
      <c r="W241" s="1263"/>
      <c r="X241" s="792"/>
      <c r="Y241" s="792"/>
      <c r="Z241" s="792"/>
      <c r="AG241" s="792"/>
      <c r="AH241" s="792"/>
      <c r="AI241" s="792"/>
      <c r="AJ241" s="792"/>
      <c r="AK241" s="792"/>
      <c r="AL241" s="792"/>
      <c r="AM241" s="792"/>
      <c r="AN241" s="792"/>
      <c r="AO241" s="792"/>
      <c r="AP241" s="1004"/>
      <c r="AQ241" s="1004"/>
      <c r="AR241" s="1004"/>
      <c r="AS241" s="1004"/>
      <c r="AT241" s="1004"/>
      <c r="AU241" s="1004"/>
      <c r="AV241" s="1004"/>
      <c r="AW241" s="1004"/>
      <c r="AX241" s="1004"/>
      <c r="AY241" s="1004"/>
      <c r="AZ241" s="1004"/>
      <c r="BA241" s="1004"/>
      <c r="BB241" s="1004"/>
      <c r="BC241" s="1004"/>
      <c r="BD241" s="1004"/>
      <c r="BE241" s="1004"/>
      <c r="BF241" s="1004"/>
      <c r="BG241" s="1004"/>
      <c r="BH241" s="1004"/>
      <c r="BI241" s="1004"/>
      <c r="BJ241" s="1004"/>
      <c r="BK241" s="1004"/>
      <c r="BL241" s="1004"/>
    </row>
    <row r="242" spans="2:64" s="682" customFormat="1" x14ac:dyDescent="0.2">
      <c r="B242" s="1263"/>
      <c r="C242" s="1263"/>
      <c r="D242" s="1263"/>
      <c r="E242" s="1263"/>
      <c r="F242" s="1263"/>
      <c r="G242" s="1263"/>
      <c r="H242" s="1263"/>
      <c r="I242" s="1263"/>
      <c r="J242" s="1263"/>
      <c r="K242" s="1263"/>
      <c r="L242" s="1263"/>
      <c r="M242" s="1263"/>
      <c r="N242" s="1263"/>
      <c r="O242" s="1263"/>
      <c r="P242" s="1263"/>
      <c r="Q242" s="1263"/>
      <c r="R242" s="1263"/>
      <c r="S242" s="1263"/>
      <c r="T242" s="1263"/>
      <c r="U242" s="1263"/>
      <c r="V242" s="1263"/>
      <c r="W242" s="1263"/>
      <c r="X242" s="792"/>
      <c r="Y242" s="792"/>
      <c r="Z242" s="792"/>
      <c r="AG242" s="792"/>
      <c r="AH242" s="792"/>
      <c r="AI242" s="792"/>
      <c r="AJ242" s="792"/>
      <c r="AK242" s="792"/>
      <c r="AL242" s="792"/>
      <c r="AM242" s="792"/>
      <c r="AN242" s="792"/>
      <c r="AO242" s="792"/>
      <c r="AP242" s="1004"/>
      <c r="AQ242" s="1004"/>
      <c r="AR242" s="1004"/>
      <c r="AS242" s="1004"/>
      <c r="AT242" s="1004"/>
      <c r="AU242" s="1004"/>
      <c r="AV242" s="1004"/>
      <c r="AW242" s="1004"/>
      <c r="AX242" s="1004"/>
      <c r="AY242" s="1004"/>
      <c r="AZ242" s="1004"/>
      <c r="BA242" s="1004"/>
      <c r="BB242" s="1004"/>
      <c r="BC242" s="1004"/>
      <c r="BD242" s="1004"/>
      <c r="BE242" s="1004"/>
      <c r="BF242" s="1004"/>
      <c r="BG242" s="1004"/>
      <c r="BH242" s="1004"/>
      <c r="BI242" s="1004"/>
      <c r="BJ242" s="1004"/>
      <c r="BK242" s="1004"/>
      <c r="BL242" s="1004"/>
    </row>
    <row r="243" spans="2:64" s="682" customFormat="1" x14ac:dyDescent="0.2">
      <c r="B243" s="1263"/>
      <c r="C243" s="1263"/>
      <c r="D243" s="1263"/>
      <c r="E243" s="1263"/>
      <c r="F243" s="1263"/>
      <c r="G243" s="1263"/>
      <c r="H243" s="1263"/>
      <c r="I243" s="1263"/>
      <c r="J243" s="1263"/>
      <c r="K243" s="1263"/>
      <c r="L243" s="1263"/>
      <c r="M243" s="1263"/>
      <c r="N243" s="1263"/>
      <c r="O243" s="1263"/>
      <c r="P243" s="1263"/>
      <c r="Q243" s="1263"/>
      <c r="R243" s="1263"/>
      <c r="S243" s="1263"/>
      <c r="T243" s="1263"/>
      <c r="U243" s="1263"/>
      <c r="V243" s="1263"/>
      <c r="W243" s="1263"/>
      <c r="X243" s="792"/>
      <c r="Y243" s="792"/>
      <c r="Z243" s="792"/>
      <c r="AG243" s="792"/>
      <c r="AH243" s="792"/>
      <c r="AI243" s="792"/>
      <c r="AJ243" s="792"/>
      <c r="AK243" s="792"/>
      <c r="AL243" s="792"/>
      <c r="AM243" s="792"/>
      <c r="AN243" s="792"/>
      <c r="AO243" s="792"/>
      <c r="AP243" s="1004"/>
      <c r="AQ243" s="1004"/>
      <c r="AR243" s="1004"/>
      <c r="AS243" s="1004"/>
      <c r="AT243" s="1004"/>
      <c r="AU243" s="1004"/>
      <c r="AV243" s="1004"/>
      <c r="AW243" s="1004"/>
      <c r="AX243" s="1004"/>
      <c r="AY243" s="1004"/>
      <c r="AZ243" s="1004"/>
      <c r="BA243" s="1004"/>
      <c r="BB243" s="1004"/>
      <c r="BC243" s="1004"/>
      <c r="BD243" s="1004"/>
      <c r="BE243" s="1004"/>
      <c r="BF243" s="1004"/>
      <c r="BG243" s="1004"/>
      <c r="BH243" s="1004"/>
      <c r="BI243" s="1004"/>
      <c r="BJ243" s="1004"/>
      <c r="BK243" s="1004"/>
      <c r="BL243" s="1004"/>
    </row>
    <row r="244" spans="2:64" s="682" customFormat="1" x14ac:dyDescent="0.2">
      <c r="B244" s="1263"/>
      <c r="C244" s="1263"/>
      <c r="D244" s="1263"/>
      <c r="E244" s="1263"/>
      <c r="F244" s="1263"/>
      <c r="G244" s="1263"/>
      <c r="H244" s="1263"/>
      <c r="I244" s="1263"/>
      <c r="J244" s="1263"/>
      <c r="K244" s="1263"/>
      <c r="L244" s="1263"/>
      <c r="M244" s="1263"/>
      <c r="N244" s="1263"/>
      <c r="O244" s="1263"/>
      <c r="P244" s="1263"/>
      <c r="Q244" s="1263"/>
      <c r="R244" s="1263"/>
      <c r="S244" s="1263"/>
      <c r="T244" s="1263"/>
      <c r="U244" s="1263"/>
      <c r="V244" s="1263"/>
      <c r="W244" s="1263"/>
      <c r="X244" s="792"/>
      <c r="Y244" s="792"/>
      <c r="Z244" s="792"/>
      <c r="AG244" s="792"/>
      <c r="AH244" s="792"/>
      <c r="AI244" s="792"/>
      <c r="AJ244" s="792"/>
      <c r="AK244" s="792"/>
      <c r="AL244" s="792"/>
      <c r="AM244" s="792"/>
      <c r="AN244" s="792"/>
      <c r="AO244" s="792"/>
      <c r="AP244" s="1004"/>
      <c r="AQ244" s="1004"/>
      <c r="AR244" s="1004"/>
      <c r="AS244" s="1004"/>
      <c r="AT244" s="1004"/>
      <c r="AU244" s="1004"/>
      <c r="AV244" s="1004"/>
      <c r="AW244" s="1004"/>
      <c r="AX244" s="1004"/>
      <c r="AY244" s="1004"/>
      <c r="AZ244" s="1004"/>
      <c r="BA244" s="1004"/>
      <c r="BB244" s="1004"/>
      <c r="BC244" s="1004"/>
      <c r="BD244" s="1004"/>
      <c r="BE244" s="1004"/>
      <c r="BF244" s="1004"/>
      <c r="BG244" s="1004"/>
      <c r="BH244" s="1004"/>
      <c r="BI244" s="1004"/>
      <c r="BJ244" s="1004"/>
      <c r="BK244" s="1004"/>
      <c r="BL244" s="1004"/>
    </row>
    <row r="245" spans="2:64" s="682" customFormat="1" x14ac:dyDescent="0.2">
      <c r="B245" s="1263"/>
      <c r="C245" s="1263"/>
      <c r="D245" s="1263"/>
      <c r="E245" s="1263"/>
      <c r="F245" s="1263"/>
      <c r="G245" s="1263"/>
      <c r="H245" s="1263"/>
      <c r="I245" s="1263"/>
      <c r="J245" s="1263"/>
      <c r="K245" s="1263"/>
      <c r="L245" s="1263"/>
      <c r="M245" s="1263"/>
      <c r="N245" s="1263"/>
      <c r="O245" s="1263"/>
      <c r="P245" s="1263"/>
      <c r="Q245" s="1263"/>
      <c r="R245" s="1263"/>
      <c r="S245" s="1263"/>
      <c r="T245" s="1263"/>
      <c r="U245" s="1263"/>
      <c r="V245" s="1263"/>
      <c r="W245" s="1263"/>
      <c r="X245" s="792"/>
      <c r="Y245" s="792"/>
      <c r="Z245" s="792"/>
      <c r="AG245" s="792"/>
      <c r="AH245" s="792"/>
      <c r="AI245" s="792"/>
      <c r="AJ245" s="792"/>
      <c r="AK245" s="792"/>
      <c r="AL245" s="792"/>
      <c r="AM245" s="792"/>
      <c r="AN245" s="792"/>
      <c r="AO245" s="792"/>
      <c r="AP245" s="1004"/>
      <c r="AQ245" s="1004"/>
      <c r="AR245" s="1004"/>
      <c r="AS245" s="1004"/>
      <c r="AT245" s="1004"/>
      <c r="AU245" s="1004"/>
      <c r="AV245" s="1004"/>
      <c r="AW245" s="1004"/>
      <c r="AX245" s="1004"/>
      <c r="AY245" s="1004"/>
      <c r="AZ245" s="1004"/>
      <c r="BA245" s="1004"/>
      <c r="BB245" s="1004"/>
      <c r="BC245" s="1004"/>
      <c r="BD245" s="1004"/>
      <c r="BE245" s="1004"/>
      <c r="BF245" s="1004"/>
      <c r="BG245" s="1004"/>
      <c r="BH245" s="1004"/>
      <c r="BI245" s="1004"/>
      <c r="BJ245" s="1004"/>
      <c r="BK245" s="1004"/>
      <c r="BL245" s="1004"/>
    </row>
    <row r="246" spans="2:64" s="682" customFormat="1" x14ac:dyDescent="0.2">
      <c r="B246" s="1263"/>
      <c r="C246" s="1263"/>
      <c r="D246" s="1263"/>
      <c r="E246" s="1263"/>
      <c r="F246" s="1263"/>
      <c r="G246" s="1263"/>
      <c r="H246" s="1263"/>
      <c r="I246" s="1263"/>
      <c r="J246" s="1263"/>
      <c r="K246" s="1263"/>
      <c r="L246" s="1263"/>
      <c r="M246" s="1263"/>
      <c r="N246" s="1263"/>
      <c r="O246" s="1263"/>
      <c r="P246" s="1263"/>
      <c r="Q246" s="1263"/>
      <c r="R246" s="1263"/>
      <c r="S246" s="1263"/>
      <c r="T246" s="1263"/>
      <c r="U246" s="1263"/>
      <c r="V246" s="1263"/>
      <c r="W246" s="1263"/>
      <c r="X246" s="792"/>
      <c r="Y246" s="792"/>
      <c r="Z246" s="792"/>
      <c r="AG246" s="792"/>
      <c r="AH246" s="792"/>
      <c r="AI246" s="792"/>
      <c r="AJ246" s="792"/>
      <c r="AK246" s="792"/>
      <c r="AL246" s="792"/>
      <c r="AM246" s="792"/>
      <c r="AN246" s="792"/>
      <c r="AO246" s="792"/>
      <c r="AP246" s="1004"/>
      <c r="AQ246" s="1004"/>
      <c r="AR246" s="1004"/>
      <c r="AS246" s="1004"/>
      <c r="AT246" s="1004"/>
      <c r="AU246" s="1004"/>
      <c r="AV246" s="1004"/>
      <c r="AW246" s="1004"/>
      <c r="AX246" s="1004"/>
      <c r="AY246" s="1004"/>
      <c r="AZ246" s="1004"/>
      <c r="BA246" s="1004"/>
      <c r="BB246" s="1004"/>
      <c r="BC246" s="1004"/>
      <c r="BD246" s="1004"/>
      <c r="BE246" s="1004"/>
      <c r="BF246" s="1004"/>
      <c r="BG246" s="1004"/>
      <c r="BH246" s="1004"/>
      <c r="BI246" s="1004"/>
      <c r="BJ246" s="1004"/>
      <c r="BK246" s="1004"/>
      <c r="BL246" s="1004"/>
    </row>
    <row r="247" spans="2:64" s="682" customFormat="1" x14ac:dyDescent="0.2">
      <c r="B247" s="1263"/>
      <c r="C247" s="1263"/>
      <c r="D247" s="1263"/>
      <c r="E247" s="1263"/>
      <c r="F247" s="1263"/>
      <c r="G247" s="1263"/>
      <c r="H247" s="1263"/>
      <c r="I247" s="1263"/>
      <c r="J247" s="1263"/>
      <c r="K247" s="1263"/>
      <c r="L247" s="1263"/>
      <c r="M247" s="1263"/>
      <c r="N247" s="1263"/>
      <c r="O247" s="1263"/>
      <c r="P247" s="1263"/>
      <c r="Q247" s="1263"/>
      <c r="R247" s="1263"/>
      <c r="S247" s="1263"/>
      <c r="T247" s="1263"/>
      <c r="U247" s="1263"/>
      <c r="V247" s="1263"/>
      <c r="W247" s="1263"/>
      <c r="X247" s="792"/>
      <c r="Y247" s="792"/>
      <c r="Z247" s="792"/>
      <c r="AG247" s="792"/>
      <c r="AH247" s="792"/>
      <c r="AI247" s="792"/>
      <c r="AJ247" s="792"/>
      <c r="AK247" s="792"/>
      <c r="AL247" s="792"/>
      <c r="AM247" s="792"/>
      <c r="AN247" s="792"/>
      <c r="AO247" s="792"/>
      <c r="AP247" s="1004"/>
      <c r="AQ247" s="1004"/>
      <c r="AR247" s="1004"/>
      <c r="AS247" s="1004"/>
      <c r="AT247" s="1004"/>
      <c r="AU247" s="1004"/>
      <c r="AV247" s="1004"/>
      <c r="AW247" s="1004"/>
      <c r="AX247" s="1004"/>
      <c r="AY247" s="1004"/>
      <c r="AZ247" s="1004"/>
      <c r="BA247" s="1004"/>
      <c r="BB247" s="1004"/>
      <c r="BC247" s="1004"/>
      <c r="BD247" s="1004"/>
      <c r="BE247" s="1004"/>
      <c r="BF247" s="1004"/>
      <c r="BG247" s="1004"/>
      <c r="BH247" s="1004"/>
      <c r="BI247" s="1004"/>
      <c r="BJ247" s="1004"/>
      <c r="BK247" s="1004"/>
      <c r="BL247" s="1004"/>
    </row>
    <row r="248" spans="2:64" s="682" customFormat="1" x14ac:dyDescent="0.2">
      <c r="B248" s="1263"/>
      <c r="C248" s="1263"/>
      <c r="D248" s="1263"/>
      <c r="E248" s="1263"/>
      <c r="F248" s="1263"/>
      <c r="G248" s="1263"/>
      <c r="H248" s="1263"/>
      <c r="I248" s="1263"/>
      <c r="J248" s="1263"/>
      <c r="K248" s="1263"/>
      <c r="L248" s="1263"/>
      <c r="M248" s="1263"/>
      <c r="N248" s="1263"/>
      <c r="O248" s="1263"/>
      <c r="P248" s="1263"/>
      <c r="Q248" s="1263"/>
      <c r="R248" s="1263"/>
      <c r="S248" s="1263"/>
      <c r="T248" s="1263"/>
      <c r="U248" s="1263"/>
      <c r="V248" s="1263"/>
      <c r="W248" s="1263"/>
      <c r="X248" s="792"/>
      <c r="Y248" s="792"/>
      <c r="Z248" s="792"/>
      <c r="AG248" s="792"/>
      <c r="AH248" s="792"/>
      <c r="AI248" s="792"/>
      <c r="AJ248" s="792"/>
      <c r="AK248" s="792"/>
      <c r="AL248" s="792"/>
      <c r="AM248" s="792"/>
      <c r="AN248" s="792"/>
      <c r="AO248" s="792"/>
      <c r="AP248" s="1004"/>
      <c r="AQ248" s="1004"/>
      <c r="AR248" s="1004"/>
      <c r="AS248" s="1004"/>
      <c r="AT248" s="1004"/>
      <c r="AU248" s="1004"/>
      <c r="AV248" s="1004"/>
      <c r="AW248" s="1004"/>
      <c r="AX248" s="1004"/>
      <c r="AY248" s="1004"/>
      <c r="AZ248" s="1004"/>
      <c r="BA248" s="1004"/>
      <c r="BB248" s="1004"/>
      <c r="BC248" s="1004"/>
      <c r="BD248" s="1004"/>
      <c r="BE248" s="1004"/>
      <c r="BF248" s="1004"/>
      <c r="BG248" s="1004"/>
      <c r="BH248" s="1004"/>
      <c r="BI248" s="1004"/>
      <c r="BJ248" s="1004"/>
      <c r="BK248" s="1004"/>
      <c r="BL248" s="1004"/>
    </row>
    <row r="249" spans="2:64" s="682" customFormat="1" x14ac:dyDescent="0.2">
      <c r="B249" s="1263"/>
      <c r="C249" s="1263"/>
      <c r="D249" s="1263"/>
      <c r="E249" s="1263"/>
      <c r="F249" s="1263"/>
      <c r="G249" s="1263"/>
      <c r="H249" s="1263"/>
      <c r="I249" s="1263"/>
      <c r="J249" s="1263"/>
      <c r="K249" s="1263"/>
      <c r="L249" s="1263"/>
      <c r="M249" s="1263"/>
      <c r="N249" s="1263"/>
      <c r="O249" s="1263"/>
      <c r="P249" s="1263"/>
      <c r="Q249" s="1263"/>
      <c r="R249" s="1263"/>
      <c r="S249" s="1263"/>
      <c r="T249" s="1263"/>
      <c r="U249" s="1263"/>
      <c r="V249" s="1263"/>
      <c r="W249" s="1263"/>
      <c r="X249" s="792"/>
      <c r="Y249" s="792"/>
      <c r="Z249" s="792"/>
      <c r="AG249" s="792"/>
      <c r="AH249" s="792"/>
      <c r="AI249" s="792"/>
      <c r="AJ249" s="792"/>
      <c r="AK249" s="792"/>
      <c r="AL249" s="792"/>
      <c r="AM249" s="792"/>
      <c r="AN249" s="792"/>
      <c r="AO249" s="792"/>
      <c r="AP249" s="1004"/>
      <c r="AQ249" s="1004"/>
      <c r="AR249" s="1004"/>
      <c r="AS249" s="1004"/>
      <c r="AT249" s="1004"/>
      <c r="AU249" s="1004"/>
      <c r="AV249" s="1004"/>
      <c r="AW249" s="1004"/>
      <c r="AX249" s="1004"/>
      <c r="AY249" s="1004"/>
      <c r="AZ249" s="1004"/>
      <c r="BA249" s="1004"/>
      <c r="BB249" s="1004"/>
      <c r="BC249" s="1004"/>
      <c r="BD249" s="1004"/>
      <c r="BE249" s="1004"/>
      <c r="BF249" s="1004"/>
      <c r="BG249" s="1004"/>
      <c r="BH249" s="1004"/>
      <c r="BI249" s="1004"/>
      <c r="BJ249" s="1004"/>
      <c r="BK249" s="1004"/>
      <c r="BL249" s="1004"/>
    </row>
    <row r="250" spans="2:64" s="682" customFormat="1" x14ac:dyDescent="0.2">
      <c r="B250" s="1263"/>
      <c r="C250" s="1263"/>
      <c r="D250" s="1263"/>
      <c r="E250" s="1263"/>
      <c r="F250" s="1263"/>
      <c r="G250" s="1263"/>
      <c r="H250" s="1263"/>
      <c r="I250" s="1263"/>
      <c r="J250" s="1263"/>
      <c r="K250" s="1263"/>
      <c r="L250" s="1263"/>
      <c r="M250" s="1263"/>
      <c r="N250" s="1263"/>
      <c r="O250" s="1263"/>
      <c r="P250" s="1263"/>
      <c r="Q250" s="1263"/>
      <c r="R250" s="1263"/>
      <c r="S250" s="1263"/>
      <c r="T250" s="1263"/>
      <c r="U250" s="1263"/>
      <c r="V250" s="1263"/>
      <c r="W250" s="1263"/>
      <c r="X250" s="792"/>
      <c r="Y250" s="792"/>
      <c r="Z250" s="792"/>
      <c r="AG250" s="792"/>
      <c r="AH250" s="792"/>
      <c r="AI250" s="792"/>
      <c r="AJ250" s="792"/>
      <c r="AK250" s="792"/>
      <c r="AL250" s="792"/>
      <c r="AM250" s="792"/>
      <c r="AN250" s="792"/>
      <c r="AO250" s="792"/>
      <c r="AP250" s="1004"/>
      <c r="AQ250" s="1004"/>
      <c r="AR250" s="1004"/>
      <c r="AS250" s="1004"/>
      <c r="AT250" s="1004"/>
      <c r="AU250" s="1004"/>
      <c r="AV250" s="1004"/>
      <c r="AW250" s="1004"/>
      <c r="AX250" s="1004"/>
      <c r="AY250" s="1004"/>
      <c r="AZ250" s="1004"/>
      <c r="BA250" s="1004"/>
      <c r="BB250" s="1004"/>
      <c r="BC250" s="1004"/>
      <c r="BD250" s="1004"/>
      <c r="BE250" s="1004"/>
      <c r="BF250" s="1004"/>
      <c r="BG250" s="1004"/>
      <c r="BH250" s="1004"/>
      <c r="BI250" s="1004"/>
      <c r="BJ250" s="1004"/>
      <c r="BK250" s="1004"/>
      <c r="BL250" s="1004"/>
    </row>
    <row r="251" spans="2:64" s="682" customFormat="1" x14ac:dyDescent="0.2">
      <c r="B251" s="1263"/>
      <c r="C251" s="1263"/>
      <c r="D251" s="1263"/>
      <c r="E251" s="1263"/>
      <c r="F251" s="1263"/>
      <c r="G251" s="1263"/>
      <c r="H251" s="1263"/>
      <c r="I251" s="1263"/>
      <c r="J251" s="1263"/>
      <c r="K251" s="1263"/>
      <c r="L251" s="1263"/>
      <c r="M251" s="1263"/>
      <c r="N251" s="1263"/>
      <c r="O251" s="1263"/>
      <c r="P251" s="1263"/>
      <c r="Q251" s="1263"/>
      <c r="R251" s="1263"/>
      <c r="S251" s="1263"/>
      <c r="T251" s="1263"/>
      <c r="U251" s="1263"/>
      <c r="V251" s="1263"/>
      <c r="W251" s="1263"/>
      <c r="X251" s="792"/>
      <c r="Y251" s="792"/>
      <c r="Z251" s="792"/>
      <c r="AG251" s="792"/>
      <c r="AH251" s="792"/>
      <c r="AI251" s="792"/>
      <c r="AJ251" s="792"/>
      <c r="AK251" s="792"/>
      <c r="AL251" s="792"/>
      <c r="AM251" s="792"/>
      <c r="AN251" s="792"/>
      <c r="AO251" s="792"/>
      <c r="AP251" s="1004"/>
      <c r="AQ251" s="1004"/>
      <c r="AR251" s="1004"/>
      <c r="AS251" s="1004"/>
      <c r="AT251" s="1004"/>
      <c r="AU251" s="1004"/>
      <c r="AV251" s="1004"/>
      <c r="AW251" s="1004"/>
      <c r="AX251" s="1004"/>
      <c r="AY251" s="1004"/>
      <c r="AZ251" s="1004"/>
      <c r="BA251" s="1004"/>
      <c r="BB251" s="1004"/>
      <c r="BC251" s="1004"/>
      <c r="BD251" s="1004"/>
      <c r="BE251" s="1004"/>
      <c r="BF251" s="1004"/>
      <c r="BG251" s="1004"/>
      <c r="BH251" s="1004"/>
      <c r="BI251" s="1004"/>
      <c r="BJ251" s="1004"/>
      <c r="BK251" s="1004"/>
      <c r="BL251" s="1004"/>
    </row>
    <row r="252" spans="2:64" s="682" customFormat="1" x14ac:dyDescent="0.2">
      <c r="B252" s="1263"/>
      <c r="C252" s="1263"/>
      <c r="D252" s="1263"/>
      <c r="E252" s="1263"/>
      <c r="F252" s="1263"/>
      <c r="G252" s="1263"/>
      <c r="H252" s="1263"/>
      <c r="I252" s="1263"/>
      <c r="J252" s="1263"/>
      <c r="K252" s="1263"/>
      <c r="L252" s="1263"/>
      <c r="M252" s="1263"/>
      <c r="N252" s="1263"/>
      <c r="O252" s="1263"/>
      <c r="P252" s="1263"/>
      <c r="Q252" s="1263"/>
      <c r="R252" s="1263"/>
      <c r="S252" s="1263"/>
      <c r="T252" s="1263"/>
      <c r="U252" s="1263"/>
      <c r="V252" s="1263"/>
      <c r="W252" s="1263"/>
      <c r="X252" s="792"/>
      <c r="Y252" s="792"/>
      <c r="Z252" s="792"/>
      <c r="AG252" s="792"/>
      <c r="AH252" s="792"/>
      <c r="AI252" s="792"/>
      <c r="AJ252" s="792"/>
      <c r="AK252" s="792"/>
      <c r="AL252" s="792"/>
      <c r="AM252" s="792"/>
      <c r="AN252" s="792"/>
      <c r="AO252" s="792"/>
      <c r="AP252" s="1004"/>
      <c r="AQ252" s="1004"/>
      <c r="AR252" s="1004"/>
      <c r="AS252" s="1004"/>
      <c r="AT252" s="1004"/>
      <c r="AU252" s="1004"/>
      <c r="AV252" s="1004"/>
      <c r="AW252" s="1004"/>
      <c r="AX252" s="1004"/>
      <c r="AY252" s="1004"/>
      <c r="AZ252" s="1004"/>
      <c r="BA252" s="1004"/>
      <c r="BB252" s="1004"/>
      <c r="BC252" s="1004"/>
      <c r="BD252" s="1004"/>
      <c r="BE252" s="1004"/>
      <c r="BF252" s="1004"/>
      <c r="BG252" s="1004"/>
      <c r="BH252" s="1004"/>
      <c r="BI252" s="1004"/>
      <c r="BJ252" s="1004"/>
      <c r="BK252" s="1004"/>
      <c r="BL252" s="1004"/>
    </row>
    <row r="253" spans="2:64" s="682" customFormat="1" x14ac:dyDescent="0.2">
      <c r="B253" s="1263"/>
      <c r="C253" s="1263"/>
      <c r="D253" s="1263"/>
      <c r="E253" s="1263"/>
      <c r="F253" s="1263"/>
      <c r="G253" s="1263"/>
      <c r="H253" s="1263"/>
      <c r="I253" s="1263"/>
      <c r="J253" s="1263"/>
      <c r="K253" s="1263"/>
      <c r="L253" s="1263"/>
      <c r="M253" s="1263"/>
      <c r="N253" s="1263"/>
      <c r="O253" s="1263"/>
      <c r="P253" s="1263"/>
      <c r="Q253" s="1263"/>
      <c r="R253" s="1263"/>
      <c r="S253" s="1263"/>
      <c r="T253" s="1263"/>
      <c r="U253" s="1263"/>
      <c r="V253" s="1263"/>
      <c r="W253" s="1263"/>
      <c r="X253" s="792"/>
      <c r="Y253" s="792"/>
      <c r="Z253" s="792"/>
      <c r="AG253" s="792"/>
      <c r="AH253" s="792"/>
      <c r="AI253" s="792"/>
      <c r="AJ253" s="792"/>
      <c r="AK253" s="792"/>
      <c r="AL253" s="792"/>
      <c r="AM253" s="792"/>
      <c r="AN253" s="792"/>
      <c r="AO253" s="792"/>
      <c r="AP253" s="1004"/>
      <c r="AQ253" s="1004"/>
      <c r="AR253" s="1004"/>
      <c r="AS253" s="1004"/>
      <c r="AT253" s="1004"/>
      <c r="AU253" s="1004"/>
      <c r="AV253" s="1004"/>
      <c r="AW253" s="1004"/>
      <c r="AX253" s="1004"/>
      <c r="AY253" s="1004"/>
      <c r="AZ253" s="1004"/>
      <c r="BA253" s="1004"/>
      <c r="BB253" s="1004"/>
      <c r="BC253" s="1004"/>
      <c r="BD253" s="1004"/>
      <c r="BE253" s="1004"/>
      <c r="BF253" s="1004"/>
      <c r="BG253" s="1004"/>
      <c r="BH253" s="1004"/>
      <c r="BI253" s="1004"/>
      <c r="BJ253" s="1004"/>
      <c r="BK253" s="1004"/>
      <c r="BL253" s="1004"/>
    </row>
    <row r="254" spans="2:64" s="682" customFormat="1" x14ac:dyDescent="0.2">
      <c r="B254" s="1263"/>
      <c r="C254" s="1263"/>
      <c r="D254" s="1263"/>
      <c r="E254" s="1263"/>
      <c r="F254" s="1263"/>
      <c r="G254" s="1263"/>
      <c r="H254" s="1263"/>
      <c r="I254" s="1263"/>
      <c r="J254" s="1263"/>
      <c r="K254" s="1263"/>
      <c r="L254" s="1263"/>
      <c r="M254" s="1263"/>
      <c r="N254" s="1263"/>
      <c r="O254" s="1263"/>
      <c r="P254" s="1263"/>
      <c r="Q254" s="1263"/>
      <c r="R254" s="1263"/>
      <c r="S254" s="1263"/>
      <c r="T254" s="1263"/>
      <c r="U254" s="1263"/>
      <c r="V254" s="1263"/>
      <c r="W254" s="1263"/>
      <c r="X254" s="792"/>
      <c r="Y254" s="792"/>
      <c r="Z254" s="792"/>
      <c r="AG254" s="792"/>
      <c r="AH254" s="792"/>
      <c r="AI254" s="792"/>
      <c r="AJ254" s="792"/>
      <c r="AK254" s="792"/>
      <c r="AL254" s="792"/>
      <c r="AM254" s="792"/>
      <c r="AN254" s="792"/>
      <c r="AO254" s="792"/>
      <c r="AP254" s="1004"/>
      <c r="AQ254" s="1004"/>
      <c r="AR254" s="1004"/>
      <c r="AS254" s="1004"/>
      <c r="AT254" s="1004"/>
      <c r="AU254" s="1004"/>
      <c r="AV254" s="1004"/>
      <c r="AW254" s="1004"/>
      <c r="AX254" s="1004"/>
      <c r="AY254" s="1004"/>
      <c r="AZ254" s="1004"/>
      <c r="BA254" s="1004"/>
      <c r="BB254" s="1004"/>
      <c r="BC254" s="1004"/>
      <c r="BD254" s="1004"/>
      <c r="BE254" s="1004"/>
      <c r="BF254" s="1004"/>
      <c r="BG254" s="1004"/>
      <c r="BH254" s="1004"/>
      <c r="BI254" s="1004"/>
      <c r="BJ254" s="1004"/>
      <c r="BK254" s="1004"/>
      <c r="BL254" s="1004"/>
    </row>
    <row r="255" spans="2:64" s="682" customFormat="1" x14ac:dyDescent="0.2">
      <c r="B255" s="1263"/>
      <c r="C255" s="1263"/>
      <c r="D255" s="1263"/>
      <c r="E255" s="1263"/>
      <c r="F255" s="1263"/>
      <c r="G255" s="1263"/>
      <c r="H255" s="1263"/>
      <c r="I255" s="1263"/>
      <c r="J255" s="1263"/>
      <c r="K255" s="1263"/>
      <c r="L255" s="1263"/>
      <c r="M255" s="1263"/>
      <c r="N255" s="1263"/>
      <c r="O255" s="1263"/>
      <c r="P255" s="1263"/>
      <c r="Q255" s="1263"/>
      <c r="R255" s="1263"/>
      <c r="S255" s="1263"/>
      <c r="T255" s="1263"/>
      <c r="U255" s="1263"/>
      <c r="V255" s="1263"/>
      <c r="W255" s="1263"/>
      <c r="X255" s="792"/>
      <c r="Y255" s="792"/>
      <c r="Z255" s="792"/>
      <c r="AG255" s="792"/>
      <c r="AH255" s="792"/>
      <c r="AI255" s="792"/>
      <c r="AJ255" s="792"/>
      <c r="AK255" s="792"/>
      <c r="AL255" s="792"/>
      <c r="AM255" s="792"/>
      <c r="AN255" s="792"/>
      <c r="AO255" s="792"/>
      <c r="AP255" s="1004"/>
      <c r="AQ255" s="1004"/>
      <c r="AR255" s="1004"/>
      <c r="AS255" s="1004"/>
      <c r="AT255" s="1004"/>
      <c r="AU255" s="1004"/>
      <c r="AV255" s="1004"/>
      <c r="AW255" s="1004"/>
      <c r="AX255" s="1004"/>
      <c r="AY255" s="1004"/>
      <c r="AZ255" s="1004"/>
      <c r="BA255" s="1004"/>
      <c r="BB255" s="1004"/>
      <c r="BC255" s="1004"/>
      <c r="BD255" s="1004"/>
      <c r="BE255" s="1004"/>
      <c r="BF255" s="1004"/>
      <c r="BG255" s="1004"/>
      <c r="BH255" s="1004"/>
      <c r="BI255" s="1004"/>
      <c r="BJ255" s="1004"/>
      <c r="BK255" s="1004"/>
      <c r="BL255" s="1004"/>
    </row>
    <row r="256" spans="2:64" s="682" customFormat="1" x14ac:dyDescent="0.2">
      <c r="B256" s="1263"/>
      <c r="C256" s="1263"/>
      <c r="D256" s="1263"/>
      <c r="E256" s="1263"/>
      <c r="F256" s="1263"/>
      <c r="G256" s="1263"/>
      <c r="H256" s="1263"/>
      <c r="I256" s="1263"/>
      <c r="J256" s="1263"/>
      <c r="K256" s="1263"/>
      <c r="L256" s="1263"/>
      <c r="M256" s="1263"/>
      <c r="N256" s="1263"/>
      <c r="O256" s="1263"/>
      <c r="P256" s="1263"/>
      <c r="Q256" s="1263"/>
      <c r="R256" s="1263"/>
      <c r="S256" s="1263"/>
      <c r="T256" s="1263"/>
      <c r="U256" s="1263"/>
      <c r="V256" s="1263"/>
      <c r="W256" s="1263"/>
      <c r="X256" s="792"/>
      <c r="Y256" s="792"/>
      <c r="Z256" s="792"/>
      <c r="AG256" s="792"/>
      <c r="AH256" s="792"/>
      <c r="AI256" s="792"/>
      <c r="AJ256" s="792"/>
      <c r="AK256" s="792"/>
      <c r="AL256" s="792"/>
      <c r="AM256" s="792"/>
      <c r="AN256" s="792"/>
      <c r="AO256" s="792"/>
      <c r="AP256" s="1004"/>
      <c r="AQ256" s="1004"/>
      <c r="AR256" s="1004"/>
      <c r="AS256" s="1004"/>
      <c r="AT256" s="1004"/>
      <c r="AU256" s="1004"/>
      <c r="AV256" s="1004"/>
      <c r="AW256" s="1004"/>
      <c r="AX256" s="1004"/>
      <c r="AY256" s="1004"/>
      <c r="AZ256" s="1004"/>
      <c r="BA256" s="1004"/>
      <c r="BB256" s="1004"/>
      <c r="BC256" s="1004"/>
      <c r="BD256" s="1004"/>
      <c r="BE256" s="1004"/>
      <c r="BF256" s="1004"/>
      <c r="BG256" s="1004"/>
      <c r="BH256" s="1004"/>
      <c r="BI256" s="1004"/>
      <c r="BJ256" s="1004"/>
      <c r="BK256" s="1004"/>
      <c r="BL256" s="1004"/>
    </row>
    <row r="257" spans="2:64" s="682" customFormat="1" x14ac:dyDescent="0.2">
      <c r="B257" s="1263"/>
      <c r="C257" s="1263"/>
      <c r="D257" s="1263"/>
      <c r="E257" s="1263"/>
      <c r="F257" s="1263"/>
      <c r="G257" s="1263"/>
      <c r="H257" s="1263"/>
      <c r="I257" s="1263"/>
      <c r="J257" s="1263"/>
      <c r="K257" s="1263"/>
      <c r="L257" s="1263"/>
      <c r="M257" s="1263"/>
      <c r="N257" s="1263"/>
      <c r="O257" s="1263"/>
      <c r="P257" s="1263"/>
      <c r="Q257" s="1263"/>
      <c r="R257" s="1263"/>
      <c r="S257" s="1263"/>
      <c r="T257" s="1263"/>
      <c r="U257" s="1263"/>
      <c r="V257" s="1263"/>
      <c r="W257" s="1263"/>
      <c r="X257" s="792"/>
      <c r="Y257" s="792"/>
      <c r="Z257" s="792"/>
      <c r="AG257" s="792"/>
      <c r="AH257" s="792"/>
      <c r="AI257" s="792"/>
      <c r="AJ257" s="792"/>
      <c r="AK257" s="792"/>
      <c r="AL257" s="792"/>
      <c r="AM257" s="792"/>
      <c r="AN257" s="792"/>
      <c r="AO257" s="792"/>
      <c r="AP257" s="1004"/>
      <c r="AQ257" s="1004"/>
      <c r="AR257" s="1004"/>
      <c r="AS257" s="1004"/>
      <c r="AT257" s="1004"/>
      <c r="AU257" s="1004"/>
      <c r="AV257" s="1004"/>
      <c r="AW257" s="1004"/>
      <c r="AX257" s="1004"/>
      <c r="AY257" s="1004"/>
      <c r="AZ257" s="1004"/>
      <c r="BA257" s="1004"/>
      <c r="BB257" s="1004"/>
      <c r="BC257" s="1004"/>
      <c r="BD257" s="1004"/>
      <c r="BE257" s="1004"/>
      <c r="BF257" s="1004"/>
      <c r="BG257" s="1004"/>
      <c r="BH257" s="1004"/>
      <c r="BI257" s="1004"/>
      <c r="BJ257" s="1004"/>
      <c r="BK257" s="1004"/>
      <c r="BL257" s="1004"/>
    </row>
    <row r="258" spans="2:64" s="682" customFormat="1" x14ac:dyDescent="0.2">
      <c r="B258" s="1263"/>
      <c r="C258" s="1263"/>
      <c r="D258" s="1263"/>
      <c r="E258" s="1263"/>
      <c r="F258" s="1263"/>
      <c r="G258" s="1263"/>
      <c r="H258" s="1263"/>
      <c r="I258" s="1263"/>
      <c r="J258" s="1263"/>
      <c r="K258" s="1263"/>
      <c r="L258" s="1263"/>
      <c r="M258" s="1263"/>
      <c r="N258" s="1263"/>
      <c r="O258" s="1263"/>
      <c r="P258" s="1263"/>
      <c r="Q258" s="1263"/>
      <c r="R258" s="1263"/>
      <c r="S258" s="1263"/>
      <c r="T258" s="1263"/>
      <c r="U258" s="1263"/>
      <c r="V258" s="1263"/>
      <c r="W258" s="1263"/>
      <c r="X258" s="792"/>
      <c r="Y258" s="792"/>
      <c r="Z258" s="792"/>
      <c r="AG258" s="792"/>
      <c r="AH258" s="792"/>
      <c r="AI258" s="792"/>
      <c r="AJ258" s="792"/>
      <c r="AK258" s="792"/>
      <c r="AL258" s="792"/>
      <c r="AM258" s="792"/>
      <c r="AN258" s="792"/>
      <c r="AO258" s="792"/>
      <c r="AP258" s="1004"/>
      <c r="AQ258" s="1004"/>
      <c r="AR258" s="1004"/>
      <c r="AS258" s="1004"/>
      <c r="AT258" s="1004"/>
      <c r="AU258" s="1004"/>
      <c r="AV258" s="1004"/>
      <c r="AW258" s="1004"/>
      <c r="AX258" s="1004"/>
      <c r="AY258" s="1004"/>
      <c r="AZ258" s="1004"/>
      <c r="BA258" s="1004"/>
      <c r="BB258" s="1004"/>
      <c r="BC258" s="1004"/>
      <c r="BD258" s="1004"/>
      <c r="BE258" s="1004"/>
      <c r="BF258" s="1004"/>
      <c r="BG258" s="1004"/>
      <c r="BH258" s="1004"/>
      <c r="BI258" s="1004"/>
      <c r="BJ258" s="1004"/>
      <c r="BK258" s="1004"/>
      <c r="BL258" s="1004"/>
    </row>
    <row r="259" spans="2:64" s="682" customFormat="1" x14ac:dyDescent="0.2">
      <c r="B259" s="1263"/>
      <c r="C259" s="1263"/>
      <c r="D259" s="1263"/>
      <c r="E259" s="1263"/>
      <c r="F259" s="1263"/>
      <c r="G259" s="1263"/>
      <c r="H259" s="1263"/>
      <c r="I259" s="1263"/>
      <c r="J259" s="1263"/>
      <c r="K259" s="1263"/>
      <c r="L259" s="1263"/>
      <c r="M259" s="1263"/>
      <c r="N259" s="1263"/>
      <c r="O259" s="1263"/>
      <c r="P259" s="1263"/>
      <c r="Q259" s="1263"/>
      <c r="R259" s="1263"/>
      <c r="S259" s="1263"/>
      <c r="T259" s="1263"/>
      <c r="U259" s="1263"/>
      <c r="V259" s="1263"/>
      <c r="W259" s="1263"/>
      <c r="X259" s="792"/>
      <c r="Y259" s="792"/>
      <c r="Z259" s="792"/>
      <c r="AG259" s="792"/>
      <c r="AH259" s="792"/>
      <c r="AI259" s="792"/>
      <c r="AJ259" s="792"/>
      <c r="AK259" s="792"/>
      <c r="AL259" s="792"/>
      <c r="AM259" s="792"/>
      <c r="AN259" s="792"/>
      <c r="AO259" s="792"/>
      <c r="AP259" s="1004"/>
      <c r="AQ259" s="1004"/>
      <c r="AR259" s="1004"/>
      <c r="AS259" s="1004"/>
      <c r="AT259" s="1004"/>
      <c r="AU259" s="1004"/>
      <c r="AV259" s="1004"/>
      <c r="AW259" s="1004"/>
      <c r="AX259" s="1004"/>
      <c r="AY259" s="1004"/>
      <c r="AZ259" s="1004"/>
      <c r="BA259" s="1004"/>
      <c r="BB259" s="1004"/>
      <c r="BC259" s="1004"/>
      <c r="BD259" s="1004"/>
      <c r="BE259" s="1004"/>
      <c r="BF259" s="1004"/>
      <c r="BG259" s="1004"/>
      <c r="BH259" s="1004"/>
      <c r="BI259" s="1004"/>
      <c r="BJ259" s="1004"/>
      <c r="BK259" s="1004"/>
      <c r="BL259" s="1004"/>
    </row>
    <row r="260" spans="2:64" s="682" customFormat="1" x14ac:dyDescent="0.2">
      <c r="B260" s="1263"/>
      <c r="C260" s="1263"/>
      <c r="D260" s="1263"/>
      <c r="E260" s="1263"/>
      <c r="F260" s="1263"/>
      <c r="G260" s="1263"/>
      <c r="H260" s="1263"/>
      <c r="I260" s="1263"/>
      <c r="J260" s="1263"/>
      <c r="K260" s="1263"/>
      <c r="L260" s="1263"/>
      <c r="M260" s="1263"/>
      <c r="N260" s="1263"/>
      <c r="O260" s="1263"/>
      <c r="P260" s="1263"/>
      <c r="Q260" s="1263"/>
      <c r="R260" s="1263"/>
      <c r="S260" s="1263"/>
      <c r="T260" s="1263"/>
      <c r="U260" s="1263"/>
      <c r="V260" s="1263"/>
      <c r="W260" s="1263"/>
      <c r="X260" s="792"/>
      <c r="Y260" s="792"/>
      <c r="Z260" s="792"/>
      <c r="AG260" s="792"/>
      <c r="AH260" s="792"/>
      <c r="AI260" s="792"/>
      <c r="AJ260" s="792"/>
      <c r="AK260" s="792"/>
      <c r="AL260" s="792"/>
      <c r="AM260" s="792"/>
      <c r="AN260" s="792"/>
      <c r="AO260" s="792"/>
      <c r="AP260" s="1004"/>
      <c r="AQ260" s="1004"/>
      <c r="AR260" s="1004"/>
      <c r="AS260" s="1004"/>
      <c r="AT260" s="1004"/>
      <c r="AU260" s="1004"/>
      <c r="AV260" s="1004"/>
      <c r="AW260" s="1004"/>
      <c r="AX260" s="1004"/>
      <c r="AY260" s="1004"/>
      <c r="AZ260" s="1004"/>
      <c r="BA260" s="1004"/>
      <c r="BB260" s="1004"/>
      <c r="BC260" s="1004"/>
      <c r="BD260" s="1004"/>
      <c r="BE260" s="1004"/>
      <c r="BF260" s="1004"/>
      <c r="BG260" s="1004"/>
      <c r="BH260" s="1004"/>
      <c r="BI260" s="1004"/>
      <c r="BJ260" s="1004"/>
      <c r="BK260" s="1004"/>
      <c r="BL260" s="1004"/>
    </row>
    <row r="261" spans="2:64" s="682" customFormat="1" x14ac:dyDescent="0.2">
      <c r="B261" s="1263"/>
      <c r="C261" s="1263"/>
      <c r="D261" s="1263"/>
      <c r="E261" s="1263"/>
      <c r="F261" s="1263"/>
      <c r="G261" s="1263"/>
      <c r="H261" s="1263"/>
      <c r="I261" s="1263"/>
      <c r="J261" s="1263"/>
      <c r="K261" s="1263"/>
      <c r="L261" s="1263"/>
      <c r="M261" s="1263"/>
      <c r="N261" s="1263"/>
      <c r="O261" s="1263"/>
      <c r="P261" s="1263"/>
      <c r="Q261" s="1263"/>
      <c r="R261" s="1263"/>
      <c r="S261" s="1263"/>
      <c r="T261" s="1263"/>
      <c r="U261" s="1263"/>
      <c r="V261" s="1263"/>
      <c r="W261" s="1263"/>
      <c r="X261" s="792"/>
      <c r="Y261" s="792"/>
      <c r="Z261" s="792"/>
      <c r="AG261" s="792"/>
      <c r="AH261" s="792"/>
      <c r="AI261" s="792"/>
      <c r="AJ261" s="792"/>
      <c r="AK261" s="792"/>
      <c r="AL261" s="792"/>
      <c r="AM261" s="792"/>
      <c r="AN261" s="792"/>
      <c r="AO261" s="792"/>
      <c r="AP261" s="1004"/>
      <c r="AQ261" s="1004"/>
      <c r="AR261" s="1004"/>
      <c r="AS261" s="1004"/>
      <c r="AT261" s="1004"/>
      <c r="AU261" s="1004"/>
      <c r="AV261" s="1004"/>
      <c r="AW261" s="1004"/>
      <c r="AX261" s="1004"/>
      <c r="AY261" s="1004"/>
      <c r="AZ261" s="1004"/>
      <c r="BA261" s="1004"/>
      <c r="BB261" s="1004"/>
      <c r="BC261" s="1004"/>
      <c r="BD261" s="1004"/>
      <c r="BE261" s="1004"/>
      <c r="BF261" s="1004"/>
      <c r="BG261" s="1004"/>
      <c r="BH261" s="1004"/>
      <c r="BI261" s="1004"/>
      <c r="BJ261" s="1004"/>
      <c r="BK261" s="1004"/>
      <c r="BL261" s="1004"/>
    </row>
    <row r="262" spans="2:64" s="682" customFormat="1" x14ac:dyDescent="0.2">
      <c r="B262" s="1263"/>
      <c r="C262" s="1263"/>
      <c r="D262" s="1263"/>
      <c r="E262" s="1263"/>
      <c r="F262" s="1263"/>
      <c r="G262" s="1263"/>
      <c r="H262" s="1263"/>
      <c r="I262" s="1263"/>
      <c r="J262" s="1263"/>
      <c r="K262" s="1263"/>
      <c r="L262" s="1263"/>
      <c r="M262" s="1263"/>
      <c r="N262" s="1263"/>
      <c r="O262" s="1263"/>
      <c r="P262" s="1263"/>
      <c r="Q262" s="1263"/>
      <c r="R262" s="1263"/>
      <c r="S262" s="1263"/>
      <c r="T262" s="1263"/>
      <c r="U262" s="1263"/>
      <c r="V262" s="1263"/>
      <c r="W262" s="1263"/>
      <c r="X262" s="792"/>
      <c r="Y262" s="792"/>
      <c r="Z262" s="792"/>
      <c r="AG262" s="792"/>
      <c r="AH262" s="792"/>
      <c r="AI262" s="792"/>
      <c r="AJ262" s="792"/>
      <c r="AK262" s="792"/>
      <c r="AL262" s="792"/>
      <c r="AM262" s="792"/>
      <c r="AN262" s="792"/>
      <c r="AO262" s="792"/>
      <c r="AP262" s="1004"/>
      <c r="AQ262" s="1004"/>
      <c r="AR262" s="1004"/>
      <c r="AS262" s="1004"/>
      <c r="AT262" s="1004"/>
      <c r="AU262" s="1004"/>
      <c r="AV262" s="1004"/>
      <c r="AW262" s="1004"/>
      <c r="AX262" s="1004"/>
      <c r="AY262" s="1004"/>
      <c r="AZ262" s="1004"/>
      <c r="BA262" s="1004"/>
      <c r="BB262" s="1004"/>
      <c r="BC262" s="1004"/>
      <c r="BD262" s="1004"/>
      <c r="BE262" s="1004"/>
      <c r="BF262" s="1004"/>
      <c r="BG262" s="1004"/>
      <c r="BH262" s="1004"/>
      <c r="BI262" s="1004"/>
      <c r="BJ262" s="1004"/>
      <c r="BK262" s="1004"/>
      <c r="BL262" s="1004"/>
    </row>
    <row r="263" spans="2:64" s="682" customFormat="1" x14ac:dyDescent="0.2">
      <c r="B263" s="1263"/>
      <c r="C263" s="1263"/>
      <c r="D263" s="1263"/>
      <c r="E263" s="1263"/>
      <c r="F263" s="1263"/>
      <c r="G263" s="1263"/>
      <c r="H263" s="1263"/>
      <c r="I263" s="1263"/>
      <c r="J263" s="1263"/>
      <c r="K263" s="1263"/>
      <c r="L263" s="1263"/>
      <c r="M263" s="1263"/>
      <c r="N263" s="1263"/>
      <c r="O263" s="1263"/>
      <c r="P263" s="1263"/>
      <c r="Q263" s="1263"/>
      <c r="R263" s="1263"/>
      <c r="S263" s="1263"/>
      <c r="T263" s="1263"/>
      <c r="U263" s="1263"/>
      <c r="V263" s="1263"/>
      <c r="W263" s="1263"/>
      <c r="X263" s="792"/>
      <c r="Y263" s="792"/>
      <c r="Z263" s="792"/>
      <c r="AG263" s="792"/>
      <c r="AH263" s="792"/>
      <c r="AI263" s="792"/>
      <c r="AJ263" s="792"/>
      <c r="AK263" s="792"/>
      <c r="AL263" s="792"/>
      <c r="AM263" s="792"/>
      <c r="AN263" s="792"/>
      <c r="AO263" s="792"/>
      <c r="AP263" s="1004"/>
      <c r="AQ263" s="1004"/>
      <c r="AR263" s="1004"/>
      <c r="AS263" s="1004"/>
      <c r="AT263" s="1004"/>
      <c r="AU263" s="1004"/>
      <c r="AV263" s="1004"/>
      <c r="AW263" s="1004"/>
      <c r="AX263" s="1004"/>
      <c r="AY263" s="1004"/>
      <c r="AZ263" s="1004"/>
      <c r="BA263" s="1004"/>
      <c r="BB263" s="1004"/>
      <c r="BC263" s="1004"/>
      <c r="BD263" s="1004"/>
      <c r="BE263" s="1004"/>
      <c r="BF263" s="1004"/>
      <c r="BG263" s="1004"/>
      <c r="BH263" s="1004"/>
      <c r="BI263" s="1004"/>
      <c r="BJ263" s="1004"/>
      <c r="BK263" s="1004"/>
      <c r="BL263" s="1004"/>
    </row>
    <row r="264" spans="2:64" s="682" customFormat="1" x14ac:dyDescent="0.2">
      <c r="B264" s="1263"/>
      <c r="C264" s="1263"/>
      <c r="D264" s="1263"/>
      <c r="E264" s="1263"/>
      <c r="F264" s="1263"/>
      <c r="G264" s="1263"/>
      <c r="H264" s="1263"/>
      <c r="I264" s="1263"/>
      <c r="J264" s="1263"/>
      <c r="K264" s="1263"/>
      <c r="L264" s="1263"/>
      <c r="M264" s="1263"/>
      <c r="N264" s="1263"/>
      <c r="O264" s="1263"/>
      <c r="P264" s="1263"/>
      <c r="Q264" s="1263"/>
      <c r="R264" s="1263"/>
      <c r="S264" s="1263"/>
      <c r="T264" s="1263"/>
      <c r="U264" s="1263"/>
      <c r="V264" s="1263"/>
      <c r="W264" s="1263"/>
      <c r="X264" s="792"/>
      <c r="Y264" s="792"/>
      <c r="Z264" s="792"/>
      <c r="AG264" s="792"/>
      <c r="AH264" s="792"/>
      <c r="AI264" s="792"/>
      <c r="AJ264" s="792"/>
      <c r="AK264" s="792"/>
      <c r="AL264" s="792"/>
      <c r="AM264" s="792"/>
      <c r="AN264" s="792"/>
      <c r="AO264" s="792"/>
      <c r="AP264" s="1004"/>
      <c r="AQ264" s="1004"/>
      <c r="AR264" s="1004"/>
      <c r="AS264" s="1004"/>
      <c r="AT264" s="1004"/>
      <c r="AU264" s="1004"/>
      <c r="AV264" s="1004"/>
      <c r="AW264" s="1004"/>
      <c r="AX264" s="1004"/>
      <c r="AY264" s="1004"/>
      <c r="AZ264" s="1004"/>
      <c r="BA264" s="1004"/>
      <c r="BB264" s="1004"/>
      <c r="BC264" s="1004"/>
      <c r="BD264" s="1004"/>
      <c r="BE264" s="1004"/>
      <c r="BF264" s="1004"/>
      <c r="BG264" s="1004"/>
      <c r="BH264" s="1004"/>
      <c r="BI264" s="1004"/>
      <c r="BJ264" s="1004"/>
      <c r="BK264" s="1004"/>
      <c r="BL264" s="1004"/>
    </row>
    <row r="265" spans="2:64" s="682" customFormat="1" x14ac:dyDescent="0.2">
      <c r="B265" s="1263"/>
      <c r="C265" s="1263"/>
      <c r="D265" s="1263"/>
      <c r="E265" s="1263"/>
      <c r="F265" s="1263"/>
      <c r="G265" s="1263"/>
      <c r="H265" s="1263"/>
      <c r="I265" s="1263"/>
      <c r="J265" s="1263"/>
      <c r="K265" s="1263"/>
      <c r="L265" s="1263"/>
      <c r="M265" s="1263"/>
      <c r="N265" s="1263"/>
      <c r="O265" s="1263"/>
      <c r="P265" s="1263"/>
      <c r="Q265" s="1263"/>
      <c r="R265" s="1263"/>
      <c r="S265" s="1263"/>
      <c r="T265" s="1263"/>
      <c r="U265" s="1263"/>
      <c r="V265" s="1263"/>
      <c r="W265" s="1263"/>
      <c r="X265" s="792"/>
      <c r="Y265" s="792"/>
      <c r="Z265" s="792"/>
      <c r="AG265" s="792"/>
      <c r="AH265" s="792"/>
      <c r="AI265" s="792"/>
      <c r="AJ265" s="792"/>
      <c r="AK265" s="792"/>
      <c r="AL265" s="792"/>
      <c r="AM265" s="792"/>
      <c r="AN265" s="792"/>
      <c r="AO265" s="792"/>
      <c r="AP265" s="1004"/>
      <c r="AQ265" s="1004"/>
      <c r="AR265" s="1004"/>
      <c r="AS265" s="1004"/>
      <c r="AT265" s="1004"/>
      <c r="AU265" s="1004"/>
      <c r="AV265" s="1004"/>
      <c r="AW265" s="1004"/>
      <c r="AX265" s="1004"/>
      <c r="AY265" s="1004"/>
      <c r="AZ265" s="1004"/>
      <c r="BA265" s="1004"/>
      <c r="BB265" s="1004"/>
      <c r="BC265" s="1004"/>
      <c r="BD265" s="1004"/>
      <c r="BE265" s="1004"/>
      <c r="BF265" s="1004"/>
      <c r="BG265" s="1004"/>
      <c r="BH265" s="1004"/>
      <c r="BI265" s="1004"/>
      <c r="BJ265" s="1004"/>
      <c r="BK265" s="1004"/>
      <c r="BL265" s="1004"/>
    </row>
    <row r="266" spans="2:64" s="682" customFormat="1" x14ac:dyDescent="0.2">
      <c r="B266" s="1263"/>
      <c r="C266" s="1263"/>
      <c r="D266" s="1263"/>
      <c r="E266" s="1263"/>
      <c r="F266" s="1263"/>
      <c r="G266" s="1263"/>
      <c r="H266" s="1263"/>
      <c r="I266" s="1263"/>
      <c r="J266" s="1263"/>
      <c r="K266" s="1263"/>
      <c r="L266" s="1263"/>
      <c r="M266" s="1263"/>
      <c r="N266" s="1263"/>
      <c r="O266" s="1263"/>
      <c r="P266" s="1263"/>
      <c r="Q266" s="1263"/>
      <c r="R266" s="1263"/>
      <c r="S266" s="1263"/>
      <c r="T266" s="1263"/>
      <c r="U266" s="1263"/>
      <c r="V266" s="1263"/>
      <c r="W266" s="1263"/>
      <c r="X266" s="792"/>
      <c r="Y266" s="792"/>
      <c r="Z266" s="792"/>
      <c r="AG266" s="792"/>
      <c r="AH266" s="792"/>
      <c r="AI266" s="792"/>
      <c r="AJ266" s="792"/>
      <c r="AK266" s="792"/>
      <c r="AL266" s="792"/>
      <c r="AM266" s="792"/>
      <c r="AN266" s="792"/>
      <c r="AO266" s="792"/>
      <c r="AP266" s="1004"/>
      <c r="AQ266" s="1004"/>
      <c r="AR266" s="1004"/>
      <c r="AS266" s="1004"/>
      <c r="AT266" s="1004"/>
      <c r="AU266" s="1004"/>
      <c r="AV266" s="1004"/>
      <c r="AW266" s="1004"/>
      <c r="AX266" s="1004"/>
      <c r="AY266" s="1004"/>
      <c r="AZ266" s="1004"/>
      <c r="BA266" s="1004"/>
      <c r="BB266" s="1004"/>
      <c r="BC266" s="1004"/>
      <c r="BD266" s="1004"/>
      <c r="BE266" s="1004"/>
      <c r="BF266" s="1004"/>
      <c r="BG266" s="1004"/>
      <c r="BH266" s="1004"/>
      <c r="BI266" s="1004"/>
      <c r="BJ266" s="1004"/>
      <c r="BK266" s="1004"/>
      <c r="BL266" s="1004"/>
    </row>
    <row r="267" spans="2:64" s="682" customFormat="1" x14ac:dyDescent="0.2">
      <c r="B267" s="1263"/>
      <c r="C267" s="1263"/>
      <c r="D267" s="1263"/>
      <c r="E267" s="1263"/>
      <c r="F267" s="1263"/>
      <c r="G267" s="1263"/>
      <c r="H267" s="1263"/>
      <c r="I267" s="1263"/>
      <c r="J267" s="1263"/>
      <c r="K267" s="1263"/>
      <c r="L267" s="1263"/>
      <c r="M267" s="1263"/>
      <c r="N267" s="1263"/>
      <c r="O267" s="1263"/>
      <c r="P267" s="1263"/>
      <c r="Q267" s="1263"/>
      <c r="R267" s="1263"/>
      <c r="S267" s="1263"/>
      <c r="T267" s="1263"/>
      <c r="U267" s="1263"/>
      <c r="V267" s="1263"/>
      <c r="W267" s="1263"/>
      <c r="X267" s="792"/>
      <c r="Y267" s="792"/>
      <c r="Z267" s="792"/>
      <c r="AG267" s="792"/>
      <c r="AH267" s="792"/>
      <c r="AI267" s="792"/>
      <c r="AJ267" s="792"/>
      <c r="AK267" s="792"/>
      <c r="AL267" s="792"/>
      <c r="AM267" s="792"/>
      <c r="AN267" s="792"/>
      <c r="AO267" s="792"/>
      <c r="AP267" s="1004"/>
      <c r="AQ267" s="1004"/>
      <c r="AR267" s="1004"/>
      <c r="AS267" s="1004"/>
      <c r="AT267" s="1004"/>
      <c r="AU267" s="1004"/>
      <c r="AV267" s="1004"/>
      <c r="AW267" s="1004"/>
      <c r="AX267" s="1004"/>
      <c r="AY267" s="1004"/>
      <c r="AZ267" s="1004"/>
      <c r="BA267" s="1004"/>
      <c r="BB267" s="1004"/>
      <c r="BC267" s="1004"/>
      <c r="BD267" s="1004"/>
      <c r="BE267" s="1004"/>
      <c r="BF267" s="1004"/>
      <c r="BG267" s="1004"/>
      <c r="BH267" s="1004"/>
      <c r="BI267" s="1004"/>
      <c r="BJ267" s="1004"/>
      <c r="BK267" s="1004"/>
      <c r="BL267" s="1004"/>
    </row>
    <row r="268" spans="2:64" s="682" customFormat="1" x14ac:dyDescent="0.2">
      <c r="B268" s="1263"/>
      <c r="C268" s="1263"/>
      <c r="D268" s="1263"/>
      <c r="E268" s="1263"/>
      <c r="F268" s="1263"/>
      <c r="G268" s="1263"/>
      <c r="H268" s="1263"/>
      <c r="I268" s="1263"/>
      <c r="J268" s="1263"/>
      <c r="K268" s="1263"/>
      <c r="L268" s="1263"/>
      <c r="M268" s="1263"/>
      <c r="N268" s="1263"/>
      <c r="O268" s="1263"/>
      <c r="P268" s="1263"/>
      <c r="Q268" s="1263"/>
      <c r="R268" s="1263"/>
      <c r="S268" s="1263"/>
      <c r="T268" s="1263"/>
      <c r="U268" s="1263"/>
      <c r="V268" s="1263"/>
      <c r="W268" s="1263"/>
      <c r="X268" s="792"/>
      <c r="Y268" s="792"/>
      <c r="Z268" s="792"/>
      <c r="AG268" s="792"/>
      <c r="AH268" s="792"/>
      <c r="AI268" s="792"/>
      <c r="AJ268" s="792"/>
      <c r="AK268" s="792"/>
      <c r="AL268" s="792"/>
      <c r="AM268" s="792"/>
      <c r="AN268" s="792"/>
      <c r="AO268" s="792"/>
      <c r="AP268" s="1004"/>
      <c r="AQ268" s="1004"/>
      <c r="AR268" s="1004"/>
      <c r="AS268" s="1004"/>
      <c r="AT268" s="1004"/>
      <c r="AU268" s="1004"/>
      <c r="AV268" s="1004"/>
      <c r="AW268" s="1004"/>
      <c r="AX268" s="1004"/>
      <c r="AY268" s="1004"/>
      <c r="AZ268" s="1004"/>
      <c r="BA268" s="1004"/>
      <c r="BB268" s="1004"/>
      <c r="BC268" s="1004"/>
      <c r="BD268" s="1004"/>
      <c r="BE268" s="1004"/>
      <c r="BF268" s="1004"/>
      <c r="BG268" s="1004"/>
      <c r="BH268" s="1004"/>
      <c r="BI268" s="1004"/>
      <c r="BJ268" s="1004"/>
      <c r="BK268" s="1004"/>
      <c r="BL268" s="1004"/>
    </row>
    <row r="269" spans="2:64" s="682" customFormat="1" x14ac:dyDescent="0.2">
      <c r="B269" s="1263"/>
      <c r="C269" s="1263"/>
      <c r="D269" s="1263"/>
      <c r="E269" s="1263"/>
      <c r="F269" s="1263"/>
      <c r="G269" s="1263"/>
      <c r="H269" s="1263"/>
      <c r="I269" s="1263"/>
      <c r="J269" s="1263"/>
      <c r="K269" s="1263"/>
      <c r="L269" s="1263"/>
      <c r="M269" s="1263"/>
      <c r="N269" s="1263"/>
      <c r="O269" s="1263"/>
      <c r="P269" s="1263"/>
      <c r="Q269" s="1263"/>
      <c r="R269" s="1263"/>
      <c r="S269" s="1263"/>
      <c r="T269" s="1263"/>
      <c r="U269" s="1263"/>
      <c r="V269" s="1263"/>
      <c r="W269" s="1263"/>
      <c r="X269" s="792"/>
      <c r="Y269" s="792"/>
      <c r="Z269" s="792"/>
      <c r="AG269" s="792"/>
      <c r="AH269" s="792"/>
      <c r="AI269" s="792"/>
      <c r="AJ269" s="792"/>
      <c r="AK269" s="792"/>
      <c r="AL269" s="792"/>
      <c r="AM269" s="792"/>
      <c r="AN269" s="792"/>
      <c r="AO269" s="792"/>
      <c r="AP269" s="1004"/>
      <c r="AQ269" s="1004"/>
      <c r="AR269" s="1004"/>
      <c r="AS269" s="1004"/>
      <c r="AT269" s="1004"/>
      <c r="AU269" s="1004"/>
      <c r="AV269" s="1004"/>
      <c r="AW269" s="1004"/>
      <c r="AX269" s="1004"/>
      <c r="AY269" s="1004"/>
      <c r="AZ269" s="1004"/>
      <c r="BA269" s="1004"/>
      <c r="BB269" s="1004"/>
      <c r="BC269" s="1004"/>
      <c r="BD269" s="1004"/>
      <c r="BE269" s="1004"/>
      <c r="BF269" s="1004"/>
      <c r="BG269" s="1004"/>
      <c r="BH269" s="1004"/>
      <c r="BI269" s="1004"/>
      <c r="BJ269" s="1004"/>
      <c r="BK269" s="1004"/>
      <c r="BL269" s="1004"/>
    </row>
    <row r="270" spans="2:64" s="682" customFormat="1" x14ac:dyDescent="0.2">
      <c r="B270" s="1263"/>
      <c r="C270" s="1263"/>
      <c r="D270" s="1263"/>
      <c r="E270" s="1263"/>
      <c r="F270" s="1263"/>
      <c r="G270" s="1263"/>
      <c r="H270" s="1263"/>
      <c r="I270" s="1263"/>
      <c r="J270" s="1263"/>
      <c r="K270" s="1263"/>
      <c r="L270" s="1263"/>
      <c r="M270" s="1263"/>
      <c r="N270" s="1263"/>
      <c r="O270" s="1263"/>
      <c r="P270" s="1263"/>
      <c r="Q270" s="1263"/>
      <c r="R270" s="1263"/>
      <c r="S270" s="1263"/>
      <c r="T270" s="1263"/>
      <c r="U270" s="1263"/>
      <c r="V270" s="1263"/>
      <c r="W270" s="1263"/>
      <c r="X270" s="792"/>
      <c r="Y270" s="792"/>
      <c r="Z270" s="792"/>
      <c r="AG270" s="792"/>
      <c r="AH270" s="792"/>
      <c r="AI270" s="792"/>
      <c r="AJ270" s="792"/>
      <c r="AK270" s="792"/>
      <c r="AL270" s="792"/>
      <c r="AM270" s="792"/>
      <c r="AN270" s="792"/>
      <c r="AO270" s="792"/>
      <c r="AP270" s="1004"/>
      <c r="AQ270" s="1004"/>
      <c r="AR270" s="1004"/>
      <c r="AS270" s="1004"/>
      <c r="AT270" s="1004"/>
      <c r="AU270" s="1004"/>
      <c r="AV270" s="1004"/>
      <c r="AW270" s="1004"/>
      <c r="AX270" s="1004"/>
      <c r="AY270" s="1004"/>
      <c r="AZ270" s="1004"/>
      <c r="BA270" s="1004"/>
      <c r="BB270" s="1004"/>
      <c r="BC270" s="1004"/>
      <c r="BD270" s="1004"/>
      <c r="BE270" s="1004"/>
      <c r="BF270" s="1004"/>
      <c r="BG270" s="1004"/>
      <c r="BH270" s="1004"/>
      <c r="BI270" s="1004"/>
      <c r="BJ270" s="1004"/>
      <c r="BK270" s="1004"/>
      <c r="BL270" s="1004"/>
    </row>
    <row r="271" spans="2:64" s="682" customFormat="1" x14ac:dyDescent="0.2">
      <c r="B271" s="1263"/>
      <c r="C271" s="1263"/>
      <c r="D271" s="1263"/>
      <c r="E271" s="1263"/>
      <c r="F271" s="1263"/>
      <c r="G271" s="1263"/>
      <c r="H271" s="1263"/>
      <c r="I271" s="1263"/>
      <c r="J271" s="1263"/>
      <c r="K271" s="1263"/>
      <c r="L271" s="1263"/>
      <c r="M271" s="1263"/>
      <c r="N271" s="1263"/>
      <c r="O271" s="1263"/>
      <c r="P271" s="1263"/>
      <c r="Q271" s="1263"/>
      <c r="R271" s="1263"/>
      <c r="S271" s="1263"/>
      <c r="T271" s="1263"/>
      <c r="U271" s="1263"/>
      <c r="V271" s="1263"/>
      <c r="W271" s="1263"/>
      <c r="X271" s="792"/>
      <c r="Y271" s="792"/>
      <c r="Z271" s="792"/>
      <c r="AG271" s="792"/>
      <c r="AH271" s="792"/>
      <c r="AI271" s="792"/>
      <c r="AJ271" s="792"/>
      <c r="AK271" s="792"/>
      <c r="AL271" s="792"/>
      <c r="AM271" s="792"/>
      <c r="AN271" s="792"/>
      <c r="AO271" s="792"/>
      <c r="AP271" s="1004"/>
      <c r="AQ271" s="1004"/>
      <c r="AR271" s="1004"/>
      <c r="AS271" s="1004"/>
      <c r="AT271" s="1004"/>
      <c r="AU271" s="1004"/>
      <c r="AV271" s="1004"/>
      <c r="AW271" s="1004"/>
      <c r="AX271" s="1004"/>
      <c r="AY271" s="1004"/>
      <c r="AZ271" s="1004"/>
      <c r="BA271" s="1004"/>
      <c r="BB271" s="1004"/>
      <c r="BC271" s="1004"/>
      <c r="BD271" s="1004"/>
      <c r="BE271" s="1004"/>
      <c r="BF271" s="1004"/>
      <c r="BG271" s="1004"/>
      <c r="BH271" s="1004"/>
      <c r="BI271" s="1004"/>
      <c r="BJ271" s="1004"/>
      <c r="BK271" s="1004"/>
      <c r="BL271" s="1004"/>
    </row>
    <row r="272" spans="2:64" s="682" customFormat="1" x14ac:dyDescent="0.2">
      <c r="B272" s="1263"/>
      <c r="C272" s="1263"/>
      <c r="D272" s="1263"/>
      <c r="E272" s="1263"/>
      <c r="F272" s="1263"/>
      <c r="G272" s="1263"/>
      <c r="H272" s="1263"/>
      <c r="I272" s="1263"/>
      <c r="J272" s="1263"/>
      <c r="K272" s="1263"/>
      <c r="L272" s="1263"/>
      <c r="M272" s="1263"/>
      <c r="N272" s="1263"/>
      <c r="O272" s="1263"/>
      <c r="P272" s="1263"/>
      <c r="Q272" s="1263"/>
      <c r="R272" s="1263"/>
      <c r="S272" s="1263"/>
      <c r="T272" s="1263"/>
      <c r="U272" s="1263"/>
      <c r="V272" s="1263"/>
      <c r="W272" s="1263"/>
      <c r="X272" s="792"/>
      <c r="Y272" s="792"/>
      <c r="Z272" s="792"/>
      <c r="AG272" s="792"/>
      <c r="AH272" s="792"/>
      <c r="AI272" s="792"/>
      <c r="AJ272" s="792"/>
      <c r="AK272" s="792"/>
      <c r="AL272" s="792"/>
      <c r="AM272" s="792"/>
      <c r="AN272" s="792"/>
      <c r="AO272" s="792"/>
      <c r="AP272" s="1004"/>
      <c r="AQ272" s="1004"/>
      <c r="AR272" s="1004"/>
      <c r="AS272" s="1004"/>
      <c r="AT272" s="1004"/>
      <c r="AU272" s="1004"/>
      <c r="AV272" s="1004"/>
      <c r="AW272" s="1004"/>
      <c r="AX272" s="1004"/>
      <c r="AY272" s="1004"/>
      <c r="AZ272" s="1004"/>
      <c r="BA272" s="1004"/>
      <c r="BB272" s="1004"/>
      <c r="BC272" s="1004"/>
      <c r="BD272" s="1004"/>
      <c r="BE272" s="1004"/>
      <c r="BF272" s="1004"/>
      <c r="BG272" s="1004"/>
      <c r="BH272" s="1004"/>
      <c r="BI272" s="1004"/>
      <c r="BJ272" s="1004"/>
      <c r="BK272" s="1004"/>
      <c r="BL272" s="1004"/>
    </row>
    <row r="273" spans="2:64" s="682" customFormat="1" x14ac:dyDescent="0.2">
      <c r="B273" s="1263"/>
      <c r="C273" s="1263"/>
      <c r="D273" s="1263"/>
      <c r="E273" s="1263"/>
      <c r="F273" s="1263"/>
      <c r="G273" s="1263"/>
      <c r="H273" s="1263"/>
      <c r="I273" s="1263"/>
      <c r="J273" s="1263"/>
      <c r="K273" s="1263"/>
      <c r="L273" s="1263"/>
      <c r="M273" s="1263"/>
      <c r="N273" s="1263"/>
      <c r="O273" s="1263"/>
      <c r="P273" s="1263"/>
      <c r="Q273" s="1263"/>
      <c r="R273" s="1263"/>
      <c r="S273" s="1263"/>
      <c r="T273" s="1263"/>
      <c r="U273" s="1263"/>
      <c r="V273" s="1263"/>
      <c r="W273" s="1263"/>
      <c r="X273" s="792"/>
      <c r="Y273" s="792"/>
      <c r="Z273" s="792"/>
      <c r="AG273" s="792"/>
      <c r="AH273" s="792"/>
      <c r="AI273" s="792"/>
      <c r="AJ273" s="792"/>
      <c r="AK273" s="792"/>
      <c r="AL273" s="792"/>
      <c r="AM273" s="792"/>
      <c r="AN273" s="792"/>
      <c r="AO273" s="792"/>
      <c r="AP273" s="1004"/>
      <c r="AQ273" s="1004"/>
      <c r="AR273" s="1004"/>
      <c r="AS273" s="1004"/>
      <c r="AT273" s="1004"/>
      <c r="AU273" s="1004"/>
      <c r="AV273" s="1004"/>
      <c r="AW273" s="1004"/>
      <c r="AX273" s="1004"/>
      <c r="AY273" s="1004"/>
      <c r="AZ273" s="1004"/>
      <c r="BA273" s="1004"/>
      <c r="BB273" s="1004"/>
      <c r="BC273" s="1004"/>
      <c r="BD273" s="1004"/>
      <c r="BE273" s="1004"/>
      <c r="BF273" s="1004"/>
      <c r="BG273" s="1004"/>
      <c r="BH273" s="1004"/>
      <c r="BI273" s="1004"/>
      <c r="BJ273" s="1004"/>
      <c r="BK273" s="1004"/>
      <c r="BL273" s="1004"/>
    </row>
    <row r="274" spans="2:64" s="682" customFormat="1" x14ac:dyDescent="0.2">
      <c r="B274" s="1263"/>
      <c r="C274" s="1263"/>
      <c r="D274" s="1263"/>
      <c r="E274" s="1263"/>
      <c r="F274" s="1263"/>
      <c r="G274" s="1263"/>
      <c r="H274" s="1263"/>
      <c r="I274" s="1263"/>
      <c r="J274" s="1263"/>
      <c r="K274" s="1263"/>
      <c r="L274" s="1263"/>
      <c r="M274" s="1263"/>
      <c r="N274" s="1263"/>
      <c r="O274" s="1263"/>
      <c r="P274" s="1263"/>
      <c r="Q274" s="1263"/>
      <c r="R274" s="1263"/>
      <c r="S274" s="1263"/>
      <c r="T274" s="1263"/>
      <c r="U274" s="1263"/>
      <c r="V274" s="1263"/>
      <c r="W274" s="1263"/>
      <c r="X274" s="792"/>
      <c r="Y274" s="792"/>
      <c r="Z274" s="792"/>
      <c r="AG274" s="792"/>
      <c r="AH274" s="792"/>
      <c r="AI274" s="792"/>
      <c r="AJ274" s="792"/>
      <c r="AK274" s="792"/>
      <c r="AL274" s="792"/>
      <c r="AM274" s="792"/>
      <c r="AN274" s="792"/>
      <c r="AO274" s="792"/>
      <c r="AP274" s="1004"/>
      <c r="AQ274" s="1004"/>
      <c r="AR274" s="1004"/>
      <c r="AS274" s="1004"/>
      <c r="AT274" s="1004"/>
      <c r="AU274" s="1004"/>
      <c r="AV274" s="1004"/>
      <c r="AW274" s="1004"/>
      <c r="AX274" s="1004"/>
      <c r="AY274" s="1004"/>
      <c r="AZ274" s="1004"/>
      <c r="BA274" s="1004"/>
      <c r="BB274" s="1004"/>
      <c r="BC274" s="1004"/>
      <c r="BD274" s="1004"/>
      <c r="BE274" s="1004"/>
      <c r="BF274" s="1004"/>
      <c r="BG274" s="1004"/>
      <c r="BH274" s="1004"/>
      <c r="BI274" s="1004"/>
      <c r="BJ274" s="1004"/>
      <c r="BK274" s="1004"/>
      <c r="BL274" s="1004"/>
    </row>
    <row r="275" spans="2:64" s="682" customFormat="1" x14ac:dyDescent="0.2">
      <c r="B275" s="1263"/>
      <c r="C275" s="1263"/>
      <c r="D275" s="1263"/>
      <c r="E275" s="1263"/>
      <c r="F275" s="1263"/>
      <c r="G275" s="1263"/>
      <c r="H275" s="1263"/>
      <c r="I275" s="1263"/>
      <c r="J275" s="1263"/>
      <c r="K275" s="1263"/>
      <c r="L275" s="1263"/>
      <c r="M275" s="1263"/>
      <c r="N275" s="1263"/>
      <c r="O275" s="1263"/>
      <c r="P275" s="1263"/>
      <c r="Q275" s="1263"/>
      <c r="R275" s="1263"/>
      <c r="S275" s="1263"/>
      <c r="T275" s="1263"/>
      <c r="U275" s="1263"/>
      <c r="V275" s="1263"/>
      <c r="W275" s="1263"/>
      <c r="X275" s="792"/>
      <c r="Y275" s="792"/>
      <c r="Z275" s="792"/>
      <c r="AG275" s="792"/>
      <c r="AH275" s="792"/>
      <c r="AI275" s="792"/>
      <c r="AJ275" s="792"/>
      <c r="AK275" s="792"/>
      <c r="AL275" s="792"/>
      <c r="AM275" s="792"/>
      <c r="AN275" s="792"/>
      <c r="AO275" s="792"/>
      <c r="AP275" s="1004"/>
      <c r="AQ275" s="1004"/>
      <c r="AR275" s="1004"/>
      <c r="AS275" s="1004"/>
      <c r="AT275" s="1004"/>
      <c r="AU275" s="1004"/>
      <c r="AV275" s="1004"/>
      <c r="AW275" s="1004"/>
      <c r="AX275" s="1004"/>
      <c r="AY275" s="1004"/>
      <c r="AZ275" s="1004"/>
      <c r="BA275" s="1004"/>
      <c r="BB275" s="1004"/>
      <c r="BC275" s="1004"/>
      <c r="BD275" s="1004"/>
      <c r="BE275" s="1004"/>
      <c r="BF275" s="1004"/>
      <c r="BG275" s="1004"/>
      <c r="BH275" s="1004"/>
      <c r="BI275" s="1004"/>
      <c r="BJ275" s="1004"/>
      <c r="BK275" s="1004"/>
      <c r="BL275" s="1004"/>
    </row>
    <row r="276" spans="2:64" s="682" customFormat="1" x14ac:dyDescent="0.2">
      <c r="B276" s="1263"/>
      <c r="C276" s="1263"/>
      <c r="D276" s="1263"/>
      <c r="E276" s="1263"/>
      <c r="F276" s="1263"/>
      <c r="G276" s="1263"/>
      <c r="H276" s="1263"/>
      <c r="I276" s="1263"/>
      <c r="J276" s="1263"/>
      <c r="K276" s="1263"/>
      <c r="L276" s="1263"/>
      <c r="M276" s="1263"/>
      <c r="N276" s="1263"/>
      <c r="O276" s="1263"/>
      <c r="P276" s="1263"/>
      <c r="Q276" s="1263"/>
      <c r="R276" s="1263"/>
      <c r="S276" s="1263"/>
      <c r="T276" s="1263"/>
      <c r="U276" s="1263"/>
      <c r="V276" s="1263"/>
      <c r="W276" s="1263"/>
      <c r="X276" s="792"/>
      <c r="Y276" s="792"/>
      <c r="Z276" s="792"/>
      <c r="AG276" s="792"/>
      <c r="AH276" s="792"/>
      <c r="AI276" s="792"/>
      <c r="AJ276" s="792"/>
      <c r="AK276" s="792"/>
      <c r="AL276" s="792"/>
      <c r="AM276" s="792"/>
      <c r="AN276" s="792"/>
      <c r="AO276" s="792"/>
      <c r="AP276" s="1004"/>
      <c r="AQ276" s="1004"/>
      <c r="AR276" s="1004"/>
      <c r="AS276" s="1004"/>
      <c r="AT276" s="1004"/>
      <c r="AU276" s="1004"/>
      <c r="AV276" s="1004"/>
      <c r="AW276" s="1004"/>
      <c r="AX276" s="1004"/>
      <c r="AY276" s="1004"/>
      <c r="AZ276" s="1004"/>
      <c r="BA276" s="1004"/>
      <c r="BB276" s="1004"/>
      <c r="BC276" s="1004"/>
      <c r="BD276" s="1004"/>
      <c r="BE276" s="1004"/>
      <c r="BF276" s="1004"/>
      <c r="BG276" s="1004"/>
      <c r="BH276" s="1004"/>
      <c r="BI276" s="1004"/>
      <c r="BJ276" s="1004"/>
      <c r="BK276" s="1004"/>
      <c r="BL276" s="1004"/>
    </row>
    <row r="277" spans="2:64" s="682" customFormat="1" x14ac:dyDescent="0.2">
      <c r="B277" s="1263"/>
      <c r="C277" s="1263"/>
      <c r="D277" s="1263"/>
      <c r="E277" s="1263"/>
      <c r="F277" s="1263"/>
      <c r="G277" s="1263"/>
      <c r="H277" s="1263"/>
      <c r="I277" s="1263"/>
      <c r="J277" s="1263"/>
      <c r="K277" s="1263"/>
      <c r="L277" s="1263"/>
      <c r="M277" s="1263"/>
      <c r="N277" s="1263"/>
      <c r="O277" s="1263"/>
      <c r="P277" s="1263"/>
      <c r="Q277" s="1263"/>
      <c r="R277" s="1263"/>
      <c r="S277" s="1263"/>
      <c r="T277" s="1263"/>
      <c r="U277" s="1263"/>
      <c r="V277" s="1263"/>
      <c r="W277" s="1263"/>
      <c r="X277" s="792"/>
      <c r="Y277" s="792"/>
      <c r="Z277" s="792"/>
      <c r="AG277" s="792"/>
      <c r="AH277" s="792"/>
      <c r="AI277" s="792"/>
      <c r="AJ277" s="792"/>
      <c r="AK277" s="792"/>
      <c r="AL277" s="792"/>
      <c r="AM277" s="792"/>
      <c r="AN277" s="792"/>
      <c r="AO277" s="792"/>
      <c r="AP277" s="1004"/>
      <c r="AQ277" s="1004"/>
      <c r="AR277" s="1004"/>
      <c r="AS277" s="1004"/>
      <c r="AT277" s="1004"/>
      <c r="AU277" s="1004"/>
      <c r="AV277" s="1004"/>
      <c r="AW277" s="1004"/>
      <c r="AX277" s="1004"/>
      <c r="AY277" s="1004"/>
      <c r="AZ277" s="1004"/>
      <c r="BA277" s="1004"/>
      <c r="BB277" s="1004"/>
      <c r="BC277" s="1004"/>
      <c r="BD277" s="1004"/>
      <c r="BE277" s="1004"/>
      <c r="BF277" s="1004"/>
      <c r="BG277" s="1004"/>
      <c r="BH277" s="1004"/>
      <c r="BI277" s="1004"/>
      <c r="BJ277" s="1004"/>
      <c r="BK277" s="1004"/>
      <c r="BL277" s="1004"/>
    </row>
    <row r="278" spans="2:64" s="682" customFormat="1" x14ac:dyDescent="0.2">
      <c r="B278" s="1263"/>
      <c r="C278" s="1263"/>
      <c r="D278" s="1263"/>
      <c r="E278" s="1263"/>
      <c r="F278" s="1263"/>
      <c r="G278" s="1263"/>
      <c r="H278" s="1263"/>
      <c r="I278" s="1263"/>
      <c r="J278" s="1263"/>
      <c r="K278" s="1263"/>
      <c r="L278" s="1263"/>
      <c r="M278" s="1263"/>
      <c r="N278" s="1263"/>
      <c r="O278" s="1263"/>
      <c r="P278" s="1263"/>
      <c r="Q278" s="1263"/>
      <c r="R278" s="1263"/>
      <c r="S278" s="1263"/>
      <c r="T278" s="1263"/>
      <c r="U278" s="1263"/>
      <c r="V278" s="1263"/>
      <c r="W278" s="1263"/>
      <c r="X278" s="792"/>
      <c r="Y278" s="792"/>
      <c r="Z278" s="792"/>
      <c r="AG278" s="792"/>
      <c r="AH278" s="792"/>
      <c r="AI278" s="792"/>
      <c r="AJ278" s="792"/>
      <c r="AK278" s="792"/>
      <c r="AL278" s="792"/>
      <c r="AM278" s="792"/>
      <c r="AN278" s="792"/>
      <c r="AO278" s="792"/>
      <c r="AP278" s="1004"/>
      <c r="AQ278" s="1004"/>
      <c r="AR278" s="1004"/>
      <c r="AS278" s="1004"/>
      <c r="AT278" s="1004"/>
      <c r="AU278" s="1004"/>
      <c r="AV278" s="1004"/>
      <c r="AW278" s="1004"/>
      <c r="AX278" s="1004"/>
      <c r="AY278" s="1004"/>
      <c r="AZ278" s="1004"/>
      <c r="BA278" s="1004"/>
      <c r="BB278" s="1004"/>
      <c r="BC278" s="1004"/>
      <c r="BD278" s="1004"/>
      <c r="BE278" s="1004"/>
      <c r="BF278" s="1004"/>
      <c r="BG278" s="1004"/>
      <c r="BH278" s="1004"/>
      <c r="BI278" s="1004"/>
      <c r="BJ278" s="1004"/>
      <c r="BK278" s="1004"/>
      <c r="BL278" s="1004"/>
    </row>
    <row r="279" spans="2:64" s="682" customFormat="1" x14ac:dyDescent="0.2">
      <c r="B279" s="841"/>
      <c r="C279" s="841"/>
      <c r="D279" s="841"/>
      <c r="E279" s="841"/>
      <c r="F279" s="841"/>
      <c r="G279" s="841"/>
      <c r="H279" s="841"/>
      <c r="I279" s="841"/>
      <c r="J279" s="841"/>
      <c r="K279" s="841"/>
      <c r="L279" s="841"/>
      <c r="M279" s="841"/>
      <c r="N279" s="841"/>
      <c r="O279" s="841"/>
      <c r="P279" s="841"/>
      <c r="Q279" s="841"/>
      <c r="R279" s="841"/>
      <c r="S279" s="841"/>
      <c r="T279" s="841"/>
      <c r="U279" s="841"/>
      <c r="V279" s="841"/>
      <c r="W279" s="841"/>
      <c r="X279" s="792"/>
      <c r="Y279" s="792"/>
      <c r="Z279" s="792"/>
      <c r="AH279" s="1004"/>
      <c r="AI279" s="1004"/>
      <c r="AJ279" s="1004"/>
      <c r="AK279" s="1004"/>
      <c r="AL279" s="1004"/>
      <c r="AM279" s="1004"/>
      <c r="AN279" s="1004"/>
      <c r="AO279" s="1004"/>
      <c r="AP279" s="1004"/>
      <c r="AQ279" s="1004"/>
      <c r="AR279" s="1004"/>
      <c r="AS279" s="1004"/>
      <c r="AT279" s="1004"/>
      <c r="AU279" s="1004"/>
      <c r="AV279" s="1004"/>
      <c r="AW279" s="1004"/>
      <c r="AX279" s="1004"/>
      <c r="AY279" s="1004"/>
      <c r="AZ279" s="1004"/>
      <c r="BA279" s="1004"/>
      <c r="BB279" s="1004"/>
      <c r="BC279" s="1004"/>
      <c r="BD279" s="1004"/>
    </row>
    <row r="280" spans="2:64" s="682" customFormat="1" x14ac:dyDescent="0.2">
      <c r="B280" s="841"/>
      <c r="C280" s="841"/>
      <c r="D280" s="841"/>
      <c r="E280" s="841"/>
      <c r="F280" s="841"/>
      <c r="G280" s="841"/>
      <c r="H280" s="841"/>
      <c r="I280" s="841"/>
      <c r="J280" s="841"/>
      <c r="K280" s="841"/>
      <c r="L280" s="841"/>
      <c r="M280" s="841"/>
      <c r="N280" s="841"/>
      <c r="O280" s="841"/>
      <c r="P280" s="841"/>
      <c r="Q280" s="841"/>
      <c r="R280" s="841"/>
      <c r="S280" s="841"/>
      <c r="T280" s="841"/>
      <c r="U280" s="841"/>
      <c r="V280" s="841"/>
      <c r="W280" s="841"/>
      <c r="X280" s="792"/>
      <c r="Y280" s="792"/>
      <c r="Z280" s="792"/>
      <c r="AH280" s="1004"/>
      <c r="AI280" s="1004"/>
      <c r="AJ280" s="1004"/>
      <c r="AK280" s="1004"/>
      <c r="AL280" s="1004"/>
      <c r="AM280" s="1004"/>
      <c r="AN280" s="1004"/>
      <c r="AO280" s="1004"/>
      <c r="AP280" s="1004"/>
      <c r="AQ280" s="1004"/>
      <c r="AR280" s="1004"/>
      <c r="AS280" s="1004"/>
      <c r="AT280" s="1004"/>
      <c r="AU280" s="1004"/>
      <c r="AV280" s="1004"/>
      <c r="AW280" s="1004"/>
      <c r="AX280" s="1004"/>
      <c r="AY280" s="1004"/>
      <c r="AZ280" s="1004"/>
      <c r="BA280" s="1004"/>
      <c r="BB280" s="1004"/>
      <c r="BC280" s="1004"/>
      <c r="BD280" s="1004"/>
    </row>
    <row r="281" spans="2:64" s="682" customFormat="1" x14ac:dyDescent="0.2">
      <c r="B281" s="841"/>
      <c r="C281" s="841"/>
      <c r="D281" s="841"/>
      <c r="E281" s="841"/>
      <c r="F281" s="841"/>
      <c r="G281" s="841"/>
      <c r="H281" s="841"/>
      <c r="I281" s="841"/>
      <c r="J281" s="841"/>
      <c r="K281" s="841"/>
      <c r="L281" s="841"/>
      <c r="M281" s="841"/>
      <c r="N281" s="841"/>
      <c r="O281" s="841"/>
      <c r="P281" s="841"/>
      <c r="Q281" s="841"/>
      <c r="R281" s="841"/>
      <c r="S281" s="841"/>
      <c r="T281" s="841"/>
      <c r="U281" s="841"/>
      <c r="V281" s="841"/>
      <c r="W281" s="841"/>
      <c r="X281" s="792"/>
      <c r="Y281" s="792"/>
      <c r="Z281" s="792"/>
      <c r="AG281" s="1261"/>
      <c r="AH281" s="1004"/>
      <c r="AI281" s="1004"/>
      <c r="AJ281" s="1004"/>
      <c r="AK281" s="1004"/>
      <c r="AL281" s="1004"/>
      <c r="AM281" s="1004"/>
      <c r="AN281" s="1004"/>
      <c r="AO281" s="1004"/>
      <c r="AP281" s="1004"/>
      <c r="AQ281" s="1004"/>
      <c r="AR281" s="1004"/>
      <c r="AS281" s="1004"/>
      <c r="AT281" s="1004"/>
      <c r="AU281" s="1004"/>
      <c r="AV281" s="1004"/>
      <c r="AW281" s="1004"/>
      <c r="AX281" s="1004"/>
      <c r="AY281" s="1004"/>
      <c r="AZ281" s="1004"/>
      <c r="BA281" s="1004"/>
      <c r="BB281" s="1004"/>
      <c r="BC281" s="1004"/>
      <c r="BD281" s="1004"/>
    </row>
    <row r="282" spans="2:64" s="682" customFormat="1" x14ac:dyDescent="0.2">
      <c r="B282" s="841"/>
      <c r="C282" s="841"/>
      <c r="D282" s="841"/>
      <c r="E282" s="841"/>
      <c r="F282" s="841"/>
      <c r="G282" s="841"/>
      <c r="H282" s="841"/>
      <c r="I282" s="841"/>
      <c r="J282" s="841"/>
      <c r="K282" s="841"/>
      <c r="L282" s="841"/>
      <c r="M282" s="841"/>
      <c r="N282" s="841"/>
      <c r="O282" s="841"/>
      <c r="P282" s="841"/>
      <c r="Q282" s="841"/>
      <c r="R282" s="841"/>
      <c r="S282" s="841"/>
      <c r="T282" s="841"/>
      <c r="U282" s="841"/>
      <c r="V282" s="841"/>
      <c r="W282" s="841"/>
      <c r="X282" s="792"/>
      <c r="Y282" s="792"/>
      <c r="Z282" s="792"/>
      <c r="AH282" s="1004"/>
      <c r="AI282" s="1004"/>
      <c r="AJ282" s="1004"/>
      <c r="AK282" s="1004"/>
      <c r="AL282" s="1004"/>
      <c r="AM282" s="1004"/>
      <c r="AN282" s="1004"/>
      <c r="AO282" s="1004"/>
      <c r="AP282" s="1004"/>
      <c r="AQ282" s="1004"/>
      <c r="AR282" s="1004"/>
      <c r="AS282" s="1004"/>
      <c r="AT282" s="1004"/>
      <c r="AU282" s="1004"/>
      <c r="AV282" s="1004"/>
      <c r="AW282" s="1004"/>
      <c r="AX282" s="1004"/>
      <c r="AY282" s="1004"/>
      <c r="AZ282" s="1004"/>
      <c r="BA282" s="1004"/>
      <c r="BB282" s="1004"/>
      <c r="BC282" s="1004"/>
      <c r="BD282" s="1004"/>
    </row>
    <row r="283" spans="2:64" s="682" customFormat="1" x14ac:dyDescent="0.2">
      <c r="B283" s="841"/>
      <c r="C283" s="841"/>
      <c r="D283" s="841"/>
      <c r="E283" s="841"/>
      <c r="F283" s="841"/>
      <c r="G283" s="841"/>
      <c r="H283" s="841"/>
      <c r="I283" s="841"/>
      <c r="J283" s="841"/>
      <c r="K283" s="841"/>
      <c r="L283" s="841"/>
      <c r="M283" s="841"/>
      <c r="N283" s="841"/>
      <c r="O283" s="841"/>
      <c r="P283" s="841"/>
      <c r="Q283" s="841"/>
      <c r="R283" s="841"/>
      <c r="S283" s="841"/>
      <c r="T283" s="841"/>
      <c r="U283" s="841"/>
      <c r="V283" s="841"/>
      <c r="W283" s="841"/>
      <c r="X283" s="792"/>
      <c r="Y283" s="792"/>
      <c r="Z283" s="792"/>
      <c r="AH283" s="1004"/>
      <c r="AI283" s="1004"/>
      <c r="AJ283" s="1004"/>
      <c r="AK283" s="1004"/>
      <c r="AL283" s="1004"/>
      <c r="AM283" s="1004"/>
      <c r="AN283" s="1004"/>
      <c r="AO283" s="1004"/>
      <c r="AP283" s="1004"/>
      <c r="AQ283" s="1004"/>
      <c r="AR283" s="1004"/>
      <c r="AS283" s="1004"/>
      <c r="AT283" s="1004"/>
      <c r="AU283" s="1004"/>
      <c r="AV283" s="1004"/>
      <c r="AW283" s="1004"/>
      <c r="AX283" s="1004"/>
      <c r="AY283" s="1004"/>
      <c r="AZ283" s="1004"/>
      <c r="BA283" s="1004"/>
      <c r="BB283" s="1004"/>
      <c r="BC283" s="1004"/>
      <c r="BD283" s="1004"/>
    </row>
    <row r="284" spans="2:64" s="682" customFormat="1" x14ac:dyDescent="0.2">
      <c r="B284" s="841"/>
      <c r="C284" s="841"/>
      <c r="D284" s="841"/>
      <c r="E284" s="841"/>
      <c r="F284" s="841"/>
      <c r="G284" s="841"/>
      <c r="H284" s="841"/>
      <c r="I284" s="841"/>
      <c r="J284" s="841"/>
      <c r="K284" s="841"/>
      <c r="L284" s="841"/>
      <c r="M284" s="841"/>
      <c r="N284" s="841"/>
      <c r="O284" s="841"/>
      <c r="P284" s="841"/>
      <c r="Q284" s="841"/>
      <c r="R284" s="841"/>
      <c r="S284" s="841"/>
      <c r="T284" s="841"/>
      <c r="U284" s="841"/>
      <c r="V284" s="841"/>
      <c r="W284" s="841"/>
      <c r="X284" s="792"/>
      <c r="Y284" s="792"/>
      <c r="Z284" s="792"/>
      <c r="AH284" s="1004"/>
      <c r="AI284" s="1004"/>
      <c r="AJ284" s="1004"/>
      <c r="AK284" s="1004"/>
      <c r="AL284" s="1004"/>
      <c r="AM284" s="1004"/>
      <c r="AN284" s="1004"/>
      <c r="AO284" s="1004"/>
      <c r="AP284" s="1004"/>
      <c r="AQ284" s="1004"/>
      <c r="AR284" s="1004"/>
      <c r="AS284" s="1004"/>
      <c r="AT284" s="1004"/>
      <c r="AU284" s="1004"/>
      <c r="AV284" s="1004"/>
      <c r="AW284" s="1004"/>
      <c r="AX284" s="1004"/>
      <c r="AY284" s="1004"/>
      <c r="AZ284" s="1004"/>
      <c r="BA284" s="1004"/>
      <c r="BB284" s="1004"/>
      <c r="BC284" s="1004"/>
      <c r="BD284" s="1004"/>
    </row>
    <row r="285" spans="2:64" s="682" customFormat="1" x14ac:dyDescent="0.2">
      <c r="B285" s="841"/>
      <c r="C285" s="841"/>
      <c r="D285" s="841"/>
      <c r="E285" s="841"/>
      <c r="F285" s="841"/>
      <c r="G285" s="841"/>
      <c r="H285" s="841"/>
      <c r="I285" s="841"/>
      <c r="J285" s="841"/>
      <c r="K285" s="841"/>
      <c r="L285" s="841"/>
      <c r="M285" s="841"/>
      <c r="N285" s="841"/>
      <c r="O285" s="841"/>
      <c r="P285" s="841"/>
      <c r="Q285" s="841"/>
      <c r="R285" s="841"/>
      <c r="S285" s="841"/>
      <c r="T285" s="841"/>
      <c r="U285" s="841"/>
      <c r="V285" s="841"/>
      <c r="W285" s="841"/>
      <c r="X285" s="792"/>
      <c r="Y285" s="792"/>
      <c r="Z285" s="792"/>
      <c r="AH285" s="1004"/>
      <c r="AI285" s="1004"/>
      <c r="AJ285" s="1004"/>
      <c r="AK285" s="1004"/>
      <c r="AL285" s="1004"/>
      <c r="AM285" s="1004"/>
      <c r="AN285" s="1004"/>
      <c r="AO285" s="1004"/>
      <c r="AP285" s="1004"/>
      <c r="AQ285" s="1004"/>
      <c r="AR285" s="1004"/>
      <c r="AS285" s="1004"/>
      <c r="AT285" s="1004"/>
      <c r="AU285" s="1004"/>
      <c r="AV285" s="1004"/>
      <c r="AW285" s="1004"/>
      <c r="AX285" s="1004"/>
      <c r="AY285" s="1004"/>
      <c r="AZ285" s="1004"/>
      <c r="BA285" s="1004"/>
      <c r="BB285" s="1004"/>
      <c r="BC285" s="1004"/>
      <c r="BD285" s="1004"/>
    </row>
    <row r="286" spans="2:64" s="682" customFormat="1" x14ac:dyDescent="0.2">
      <c r="B286" s="841"/>
      <c r="C286" s="841"/>
      <c r="D286" s="841"/>
      <c r="E286" s="841"/>
      <c r="F286" s="841"/>
      <c r="G286" s="841"/>
      <c r="H286" s="841"/>
      <c r="I286" s="841"/>
      <c r="J286" s="841"/>
      <c r="K286" s="841"/>
      <c r="L286" s="841"/>
      <c r="M286" s="841"/>
      <c r="N286" s="841"/>
      <c r="O286" s="841"/>
      <c r="P286" s="841"/>
      <c r="Q286" s="841"/>
      <c r="R286" s="841"/>
      <c r="S286" s="841"/>
      <c r="T286" s="841"/>
      <c r="U286" s="841"/>
      <c r="V286" s="841"/>
      <c r="W286" s="841"/>
      <c r="X286" s="792"/>
      <c r="Y286" s="792"/>
      <c r="Z286" s="792"/>
      <c r="AH286" s="1004"/>
      <c r="AI286" s="1004"/>
      <c r="AJ286" s="1004"/>
      <c r="AK286" s="1004"/>
      <c r="AL286" s="1004"/>
      <c r="AM286" s="1004"/>
      <c r="AN286" s="1004"/>
      <c r="AO286" s="1004"/>
      <c r="AP286" s="1004"/>
      <c r="AQ286" s="1004"/>
      <c r="AR286" s="1004"/>
      <c r="AS286" s="1004"/>
      <c r="AT286" s="1004"/>
      <c r="AU286" s="1004"/>
      <c r="AV286" s="1004"/>
      <c r="AW286" s="1004"/>
      <c r="AX286" s="1004"/>
      <c r="AY286" s="1004"/>
      <c r="AZ286" s="1004"/>
      <c r="BA286" s="1004"/>
      <c r="BB286" s="1004"/>
      <c r="BC286" s="1004"/>
      <c r="BD286" s="1004"/>
    </row>
    <row r="287" spans="2:64" s="682" customFormat="1" x14ac:dyDescent="0.2">
      <c r="B287" s="841"/>
      <c r="C287" s="841"/>
      <c r="D287" s="841"/>
      <c r="E287" s="841"/>
      <c r="F287" s="841"/>
      <c r="G287" s="841"/>
      <c r="H287" s="841"/>
      <c r="I287" s="841"/>
      <c r="J287" s="841"/>
      <c r="K287" s="841"/>
      <c r="L287" s="841"/>
      <c r="M287" s="841"/>
      <c r="N287" s="841"/>
      <c r="O287" s="841"/>
      <c r="P287" s="841"/>
      <c r="Q287" s="841"/>
      <c r="R287" s="841"/>
      <c r="S287" s="841"/>
      <c r="T287" s="841"/>
      <c r="U287" s="841"/>
      <c r="V287" s="841"/>
      <c r="W287" s="841"/>
      <c r="X287" s="792"/>
      <c r="Y287" s="792"/>
      <c r="Z287" s="792"/>
      <c r="AH287" s="1004"/>
      <c r="AI287" s="1004"/>
      <c r="AJ287" s="1004"/>
      <c r="AK287" s="1004"/>
      <c r="AL287" s="1004"/>
      <c r="AM287" s="1004"/>
      <c r="AN287" s="1004"/>
      <c r="AO287" s="1004"/>
      <c r="AP287" s="1004"/>
      <c r="AQ287" s="1004"/>
      <c r="AR287" s="1004"/>
      <c r="AS287" s="1004"/>
      <c r="AT287" s="1004"/>
      <c r="AU287" s="1004"/>
      <c r="AV287" s="1004"/>
      <c r="AW287" s="1004"/>
      <c r="AX287" s="1004"/>
      <c r="AY287" s="1004"/>
      <c r="AZ287" s="1004"/>
      <c r="BA287" s="1004"/>
      <c r="BB287" s="1004"/>
      <c r="BC287" s="1004"/>
      <c r="BD287" s="1004"/>
    </row>
    <row r="288" spans="2:64" s="682" customFormat="1" x14ac:dyDescent="0.2">
      <c r="B288" s="841"/>
      <c r="C288" s="841"/>
      <c r="D288" s="841"/>
      <c r="E288" s="841"/>
      <c r="F288" s="841"/>
      <c r="G288" s="841"/>
      <c r="H288" s="841"/>
      <c r="I288" s="841"/>
      <c r="J288" s="841"/>
      <c r="K288" s="841"/>
      <c r="L288" s="841"/>
      <c r="M288" s="841"/>
      <c r="N288" s="841"/>
      <c r="O288" s="841"/>
      <c r="P288" s="841"/>
      <c r="Q288" s="841"/>
      <c r="R288" s="841"/>
      <c r="S288" s="841"/>
      <c r="T288" s="841"/>
      <c r="U288" s="841"/>
      <c r="V288" s="841"/>
      <c r="W288" s="841"/>
      <c r="X288" s="792"/>
      <c r="Y288" s="792"/>
      <c r="Z288" s="792"/>
      <c r="AH288" s="1004"/>
      <c r="AI288" s="1004"/>
      <c r="AJ288" s="1004"/>
      <c r="AK288" s="1004"/>
      <c r="AL288" s="1004"/>
      <c r="AM288" s="1004"/>
      <c r="AN288" s="1004"/>
      <c r="AO288" s="1004"/>
      <c r="AP288" s="1004"/>
      <c r="AQ288" s="1004"/>
      <c r="AR288" s="1004"/>
      <c r="AS288" s="1004"/>
      <c r="AT288" s="1004"/>
      <c r="AU288" s="1004"/>
      <c r="AV288" s="1004"/>
      <c r="AW288" s="1004"/>
      <c r="AX288" s="1004"/>
      <c r="AY288" s="1004"/>
      <c r="AZ288" s="1004"/>
      <c r="BA288" s="1004"/>
      <c r="BB288" s="1004"/>
      <c r="BC288" s="1004"/>
      <c r="BD288" s="1004"/>
    </row>
    <row r="289" spans="2:56" s="682" customFormat="1" x14ac:dyDescent="0.2">
      <c r="B289" s="841"/>
      <c r="C289" s="841"/>
      <c r="D289" s="841"/>
      <c r="E289" s="841"/>
      <c r="F289" s="841"/>
      <c r="G289" s="841"/>
      <c r="H289" s="841"/>
      <c r="I289" s="841"/>
      <c r="J289" s="841"/>
      <c r="K289" s="841"/>
      <c r="L289" s="841"/>
      <c r="M289" s="841"/>
      <c r="N289" s="841"/>
      <c r="O289" s="841"/>
      <c r="P289" s="841"/>
      <c r="Q289" s="841"/>
      <c r="R289" s="841"/>
      <c r="S289" s="841"/>
      <c r="T289" s="841"/>
      <c r="U289" s="841"/>
      <c r="V289" s="841"/>
      <c r="W289" s="841"/>
      <c r="X289" s="792"/>
      <c r="Y289" s="792"/>
      <c r="Z289" s="792"/>
      <c r="AH289" s="1004"/>
      <c r="AI289" s="1004"/>
      <c r="AJ289" s="1004"/>
      <c r="AK289" s="1004"/>
      <c r="AL289" s="1004"/>
      <c r="AM289" s="1004"/>
      <c r="AN289" s="1004"/>
      <c r="AO289" s="1004"/>
      <c r="AP289" s="1004"/>
      <c r="AQ289" s="1004"/>
      <c r="AR289" s="1004"/>
      <c r="AS289" s="1004"/>
      <c r="AT289" s="1004"/>
      <c r="AU289" s="1004"/>
      <c r="AV289" s="1004"/>
      <c r="AW289" s="1004"/>
      <c r="AX289" s="1004"/>
      <c r="AY289" s="1004"/>
      <c r="AZ289" s="1004"/>
      <c r="BA289" s="1004"/>
      <c r="BB289" s="1004"/>
      <c r="BC289" s="1004"/>
      <c r="BD289" s="1004"/>
    </row>
    <row r="290" spans="2:56" s="682" customFormat="1" x14ac:dyDescent="0.2">
      <c r="B290" s="841"/>
      <c r="C290" s="841"/>
      <c r="D290" s="841"/>
      <c r="E290" s="841"/>
      <c r="F290" s="841"/>
      <c r="G290" s="841"/>
      <c r="H290" s="841"/>
      <c r="I290" s="841"/>
      <c r="J290" s="841"/>
      <c r="K290" s="841"/>
      <c r="L290" s="841"/>
      <c r="M290" s="841"/>
      <c r="N290" s="841"/>
      <c r="O290" s="841"/>
      <c r="P290" s="841"/>
      <c r="Q290" s="841"/>
      <c r="R290" s="841"/>
      <c r="S290" s="841"/>
      <c r="T290" s="841"/>
      <c r="U290" s="841"/>
      <c r="V290" s="841"/>
      <c r="W290" s="841"/>
      <c r="X290" s="792"/>
      <c r="Y290" s="792"/>
      <c r="Z290" s="792"/>
      <c r="AH290" s="1004"/>
      <c r="AI290" s="1004"/>
      <c r="AJ290" s="1004"/>
      <c r="AK290" s="1004"/>
      <c r="AL290" s="1004"/>
      <c r="AM290" s="1004"/>
      <c r="AN290" s="1004"/>
      <c r="AO290" s="1004"/>
      <c r="AP290" s="1004"/>
      <c r="AQ290" s="1004"/>
      <c r="AR290" s="1004"/>
      <c r="AS290" s="1004"/>
      <c r="AT290" s="1004"/>
      <c r="AU290" s="1004"/>
      <c r="AV290" s="1004"/>
      <c r="AW290" s="1004"/>
      <c r="AX290" s="1004"/>
      <c r="AY290" s="1004"/>
      <c r="AZ290" s="1004"/>
      <c r="BA290" s="1004"/>
      <c r="BB290" s="1004"/>
      <c r="BC290" s="1004"/>
      <c r="BD290" s="1004"/>
    </row>
    <row r="291" spans="2:56" s="682" customFormat="1" x14ac:dyDescent="0.2">
      <c r="B291" s="841"/>
      <c r="C291" s="841"/>
      <c r="D291" s="841"/>
      <c r="E291" s="841"/>
      <c r="F291" s="841"/>
      <c r="G291" s="841"/>
      <c r="H291" s="841"/>
      <c r="I291" s="841"/>
      <c r="J291" s="841"/>
      <c r="K291" s="841"/>
      <c r="L291" s="841"/>
      <c r="M291" s="841"/>
      <c r="N291" s="841"/>
      <c r="O291" s="841"/>
      <c r="P291" s="841"/>
      <c r="Q291" s="841"/>
      <c r="R291" s="841"/>
      <c r="S291" s="841"/>
      <c r="T291" s="841"/>
      <c r="U291" s="841"/>
      <c r="V291" s="841"/>
      <c r="W291" s="841"/>
      <c r="X291" s="792"/>
      <c r="Y291" s="792"/>
      <c r="Z291" s="792"/>
      <c r="AG291" s="1261"/>
      <c r="AH291" s="1004"/>
      <c r="AI291" s="1004"/>
      <c r="AJ291" s="1004"/>
      <c r="AK291" s="1004"/>
      <c r="AL291" s="1004"/>
      <c r="AM291" s="1004"/>
      <c r="AN291" s="1004"/>
      <c r="AO291" s="1004"/>
      <c r="AP291" s="1004"/>
      <c r="AQ291" s="1004"/>
      <c r="AR291" s="1004"/>
      <c r="AS291" s="1004"/>
      <c r="AT291" s="1004"/>
      <c r="AU291" s="1004"/>
      <c r="AV291" s="1004"/>
      <c r="AW291" s="1004"/>
      <c r="AX291" s="1004"/>
      <c r="AY291" s="1004"/>
      <c r="AZ291" s="1004"/>
      <c r="BA291" s="1004"/>
      <c r="BB291" s="1004"/>
      <c r="BC291" s="1004"/>
      <c r="BD291" s="1004"/>
    </row>
    <row r="292" spans="2:56" s="682" customFormat="1" x14ac:dyDescent="0.2">
      <c r="B292" s="841"/>
      <c r="C292" s="841"/>
      <c r="D292" s="841"/>
      <c r="E292" s="841"/>
      <c r="F292" s="841"/>
      <c r="G292" s="841"/>
      <c r="H292" s="841"/>
      <c r="I292" s="841"/>
      <c r="J292" s="841"/>
      <c r="K292" s="841"/>
      <c r="L292" s="841"/>
      <c r="M292" s="841"/>
      <c r="N292" s="841"/>
      <c r="O292" s="841"/>
      <c r="P292" s="841"/>
      <c r="Q292" s="841"/>
      <c r="R292" s="841"/>
      <c r="S292" s="841"/>
      <c r="T292" s="841"/>
      <c r="U292" s="841"/>
      <c r="V292" s="841"/>
      <c r="W292" s="841"/>
      <c r="X292" s="792"/>
      <c r="Y292" s="792"/>
      <c r="Z292" s="792"/>
      <c r="AH292" s="1004"/>
      <c r="AI292" s="1004"/>
      <c r="AJ292" s="1004"/>
      <c r="AK292" s="1004"/>
      <c r="AL292" s="1004"/>
      <c r="AM292" s="1004"/>
      <c r="AN292" s="1004"/>
      <c r="AO292" s="1004"/>
      <c r="AP292" s="1004"/>
      <c r="AQ292" s="1004"/>
      <c r="AR292" s="1004"/>
      <c r="AS292" s="1004"/>
      <c r="AT292" s="1004"/>
      <c r="AU292" s="1004"/>
      <c r="AV292" s="1004"/>
      <c r="AW292" s="1004"/>
      <c r="AX292" s="1004"/>
      <c r="AY292" s="1004"/>
      <c r="AZ292" s="1004"/>
      <c r="BA292" s="1004"/>
      <c r="BB292" s="1004"/>
      <c r="BC292" s="1004"/>
      <c r="BD292" s="1004"/>
    </row>
    <row r="293" spans="2:56" s="682" customFormat="1" x14ac:dyDescent="0.2">
      <c r="B293" s="841"/>
      <c r="C293" s="841"/>
      <c r="D293" s="841"/>
      <c r="E293" s="841"/>
      <c r="F293" s="841"/>
      <c r="G293" s="841"/>
      <c r="H293" s="841"/>
      <c r="I293" s="841"/>
      <c r="J293" s="841"/>
      <c r="K293" s="841"/>
      <c r="L293" s="841"/>
      <c r="M293" s="841"/>
      <c r="N293" s="841"/>
      <c r="O293" s="841"/>
      <c r="P293" s="841"/>
      <c r="Q293" s="841"/>
      <c r="R293" s="841"/>
      <c r="S293" s="841"/>
      <c r="T293" s="841"/>
      <c r="U293" s="841"/>
      <c r="V293" s="841"/>
      <c r="W293" s="841"/>
      <c r="X293" s="792"/>
      <c r="Y293" s="792"/>
      <c r="Z293" s="792"/>
      <c r="AH293" s="1004"/>
      <c r="AI293" s="1004"/>
      <c r="AJ293" s="1004"/>
      <c r="AK293" s="1004"/>
      <c r="AL293" s="1004"/>
      <c r="AM293" s="1004"/>
      <c r="AN293" s="1004"/>
      <c r="AO293" s="1004"/>
      <c r="AP293" s="1004"/>
      <c r="AQ293" s="1004"/>
      <c r="AR293" s="1004"/>
      <c r="AS293" s="1004"/>
      <c r="AT293" s="1004"/>
      <c r="AU293" s="1004"/>
      <c r="AV293" s="1004"/>
      <c r="AW293" s="1004"/>
      <c r="AX293" s="1004"/>
      <c r="AY293" s="1004"/>
      <c r="AZ293" s="1004"/>
      <c r="BA293" s="1004"/>
      <c r="BB293" s="1004"/>
      <c r="BC293" s="1004"/>
      <c r="BD293" s="1004"/>
    </row>
    <row r="294" spans="2:56" s="682" customFormat="1" x14ac:dyDescent="0.2">
      <c r="C294" s="942"/>
      <c r="D294" s="942"/>
      <c r="E294" s="683"/>
      <c r="F294" s="683"/>
      <c r="G294" s="792"/>
      <c r="H294" s="792"/>
      <c r="I294" s="792"/>
      <c r="J294" s="792"/>
      <c r="K294" s="792"/>
      <c r="L294" s="792"/>
      <c r="M294" s="792"/>
      <c r="N294" s="792"/>
      <c r="X294" s="792"/>
      <c r="Y294" s="792"/>
      <c r="Z294" s="792"/>
      <c r="AH294" s="1004"/>
      <c r="AI294" s="1004"/>
      <c r="AJ294" s="1004"/>
      <c r="AK294" s="1004"/>
      <c r="AL294" s="1004"/>
      <c r="AM294" s="1004"/>
      <c r="AN294" s="1004"/>
      <c r="AO294" s="1004"/>
      <c r="AP294" s="1004"/>
      <c r="AQ294" s="1004"/>
      <c r="AR294" s="1004"/>
      <c r="AS294" s="1004"/>
      <c r="AT294" s="1004"/>
      <c r="AU294" s="1004"/>
      <c r="AV294" s="1004"/>
      <c r="AW294" s="1004"/>
      <c r="AX294" s="1004"/>
      <c r="AY294" s="1004"/>
      <c r="AZ294" s="1004"/>
      <c r="BA294" s="1004"/>
      <c r="BB294" s="1004"/>
      <c r="BC294" s="1004"/>
      <c r="BD294" s="1004"/>
    </row>
    <row r="295" spans="2:56" s="682" customFormat="1" x14ac:dyDescent="0.2">
      <c r="C295" s="942"/>
      <c r="D295" s="942"/>
      <c r="E295" s="683"/>
      <c r="F295" s="683"/>
      <c r="G295" s="792"/>
      <c r="H295" s="792"/>
      <c r="I295" s="792"/>
      <c r="J295" s="792"/>
      <c r="K295" s="792"/>
      <c r="L295" s="792"/>
      <c r="M295" s="792"/>
      <c r="N295" s="792"/>
      <c r="X295" s="792"/>
      <c r="Y295" s="792"/>
      <c r="Z295" s="792"/>
      <c r="AH295" s="1004"/>
      <c r="AI295" s="1004"/>
      <c r="AJ295" s="1004"/>
      <c r="AK295" s="1004"/>
      <c r="AL295" s="1004"/>
      <c r="AM295" s="1004"/>
      <c r="AN295" s="1004"/>
      <c r="AO295" s="1004"/>
      <c r="AP295" s="1004"/>
      <c r="AQ295" s="1004"/>
      <c r="AR295" s="1004"/>
      <c r="AS295" s="1004"/>
      <c r="AT295" s="1004"/>
      <c r="AU295" s="1004"/>
      <c r="AV295" s="1004"/>
      <c r="AW295" s="1004"/>
      <c r="AX295" s="1004"/>
      <c r="AY295" s="1004"/>
      <c r="AZ295" s="1004"/>
      <c r="BA295" s="1004"/>
      <c r="BB295" s="1004"/>
      <c r="BC295" s="1004"/>
      <c r="BD295" s="1004"/>
    </row>
    <row r="296" spans="2:56" s="682" customFormat="1" x14ac:dyDescent="0.2">
      <c r="C296" s="942"/>
      <c r="D296" s="942"/>
      <c r="E296" s="683"/>
      <c r="F296" s="683"/>
      <c r="G296" s="792"/>
      <c r="H296" s="792"/>
      <c r="I296" s="792"/>
      <c r="J296" s="792"/>
      <c r="K296" s="792"/>
      <c r="L296" s="792"/>
      <c r="M296" s="792"/>
      <c r="N296" s="792"/>
      <c r="X296" s="792"/>
      <c r="Y296" s="792"/>
      <c r="Z296" s="792"/>
      <c r="AG296" s="1261"/>
      <c r="AH296" s="1004"/>
      <c r="AI296" s="1004"/>
      <c r="AJ296" s="1004"/>
      <c r="AK296" s="1004"/>
      <c r="AL296" s="1004"/>
      <c r="AM296" s="1004"/>
      <c r="AN296" s="1004"/>
      <c r="AO296" s="1004"/>
      <c r="AP296" s="1004"/>
      <c r="AQ296" s="1004"/>
      <c r="AR296" s="1004"/>
      <c r="AS296" s="1004"/>
      <c r="AT296" s="1004"/>
      <c r="AU296" s="1004"/>
      <c r="AV296" s="1004"/>
      <c r="AW296" s="1004"/>
      <c r="AX296" s="1004"/>
      <c r="AY296" s="1004"/>
      <c r="AZ296" s="1004"/>
      <c r="BA296" s="1004"/>
      <c r="BB296" s="1004"/>
      <c r="BC296" s="1004"/>
      <c r="BD296" s="1004"/>
    </row>
    <row r="297" spans="2:56" s="682" customFormat="1" x14ac:dyDescent="0.2">
      <c r="C297" s="942"/>
      <c r="D297" s="942"/>
      <c r="E297" s="683"/>
      <c r="F297" s="683"/>
      <c r="G297" s="792"/>
      <c r="H297" s="792"/>
      <c r="I297" s="792"/>
      <c r="J297" s="792"/>
      <c r="K297" s="792"/>
      <c r="L297" s="792"/>
      <c r="M297" s="792"/>
      <c r="N297" s="792"/>
      <c r="X297" s="792"/>
      <c r="Y297" s="792"/>
      <c r="Z297" s="792"/>
      <c r="AH297" s="1004"/>
      <c r="AI297" s="1004"/>
      <c r="AJ297" s="1004"/>
      <c r="AK297" s="1004"/>
      <c r="AL297" s="1004"/>
      <c r="AM297" s="1004"/>
      <c r="AN297" s="1004"/>
      <c r="AO297" s="1004"/>
      <c r="AP297" s="1004"/>
      <c r="AQ297" s="1004"/>
      <c r="AR297" s="1004"/>
      <c r="AS297" s="1004"/>
      <c r="AT297" s="1004"/>
      <c r="AU297" s="1004"/>
      <c r="AV297" s="1004"/>
      <c r="AW297" s="1004"/>
      <c r="AX297" s="1004"/>
      <c r="AY297" s="1004"/>
      <c r="AZ297" s="1004"/>
      <c r="BA297" s="1004"/>
      <c r="BB297" s="1004"/>
      <c r="BC297" s="1004"/>
      <c r="BD297" s="1004"/>
    </row>
    <row r="298" spans="2:56" s="682" customFormat="1" x14ac:dyDescent="0.2">
      <c r="C298" s="942"/>
      <c r="D298" s="942"/>
      <c r="E298" s="683"/>
      <c r="F298" s="683"/>
      <c r="G298" s="792"/>
      <c r="H298" s="792"/>
      <c r="I298" s="792"/>
      <c r="J298" s="792"/>
      <c r="K298" s="792"/>
      <c r="L298" s="792"/>
      <c r="M298" s="792"/>
      <c r="N298" s="792"/>
      <c r="X298" s="792"/>
      <c r="Y298" s="792"/>
      <c r="Z298" s="792"/>
      <c r="AH298" s="1004"/>
      <c r="AI298" s="1004"/>
      <c r="AJ298" s="1004"/>
      <c r="AK298" s="1004"/>
      <c r="AL298" s="1004"/>
      <c r="AM298" s="1004"/>
      <c r="AN298" s="1004"/>
      <c r="AO298" s="1004"/>
      <c r="AP298" s="1004"/>
      <c r="AQ298" s="1004"/>
      <c r="AR298" s="1004"/>
      <c r="AS298" s="1004"/>
      <c r="AT298" s="1004"/>
      <c r="AU298" s="1004"/>
      <c r="AV298" s="1004"/>
      <c r="AW298" s="1004"/>
      <c r="AX298" s="1004"/>
      <c r="AY298" s="1004"/>
      <c r="AZ298" s="1004"/>
      <c r="BA298" s="1004"/>
      <c r="BB298" s="1004"/>
      <c r="BC298" s="1004"/>
      <c r="BD298" s="1004"/>
    </row>
    <row r="299" spans="2:56" s="682" customFormat="1" x14ac:dyDescent="0.2">
      <c r="C299" s="942"/>
      <c r="D299" s="942"/>
      <c r="E299" s="683"/>
      <c r="F299" s="683"/>
      <c r="G299" s="792"/>
      <c r="H299" s="792"/>
      <c r="I299" s="792"/>
      <c r="J299" s="792"/>
      <c r="K299" s="792"/>
      <c r="L299" s="792"/>
      <c r="M299" s="792"/>
      <c r="N299" s="792"/>
      <c r="X299" s="792"/>
      <c r="Y299" s="792"/>
      <c r="Z299" s="792"/>
      <c r="AH299" s="1004"/>
      <c r="AI299" s="1004"/>
      <c r="AJ299" s="1004"/>
      <c r="AK299" s="1004"/>
      <c r="AL299" s="1004"/>
      <c r="AM299" s="1004"/>
      <c r="AN299" s="1004"/>
      <c r="AO299" s="1004"/>
      <c r="AP299" s="1004"/>
      <c r="AQ299" s="1004"/>
      <c r="AR299" s="1004"/>
      <c r="AS299" s="1004"/>
      <c r="AT299" s="1004"/>
      <c r="AU299" s="1004"/>
      <c r="AV299" s="1004"/>
      <c r="AW299" s="1004"/>
      <c r="AX299" s="1004"/>
      <c r="AY299" s="1004"/>
      <c r="AZ299" s="1004"/>
      <c r="BA299" s="1004"/>
      <c r="BB299" s="1004"/>
      <c r="BC299" s="1004"/>
      <c r="BD299" s="1004"/>
    </row>
    <row r="300" spans="2:56" s="682" customFormat="1" x14ac:dyDescent="0.2">
      <c r="C300" s="942"/>
      <c r="D300" s="942"/>
      <c r="E300" s="683"/>
      <c r="F300" s="683"/>
      <c r="G300" s="792"/>
      <c r="H300" s="792"/>
      <c r="I300" s="792"/>
      <c r="J300" s="792"/>
      <c r="K300" s="792"/>
      <c r="L300" s="792"/>
      <c r="M300" s="792"/>
      <c r="N300" s="792"/>
      <c r="X300" s="792"/>
      <c r="Y300" s="792"/>
      <c r="Z300" s="792"/>
      <c r="AH300" s="1004"/>
      <c r="AI300" s="1004"/>
      <c r="AJ300" s="1004"/>
      <c r="AK300" s="1004"/>
      <c r="AL300" s="1004"/>
      <c r="AM300" s="1004"/>
      <c r="AN300" s="1004"/>
      <c r="AO300" s="1004"/>
      <c r="AP300" s="1004"/>
      <c r="AQ300" s="1004"/>
      <c r="AR300" s="1004"/>
      <c r="AS300" s="1004"/>
      <c r="AT300" s="1004"/>
      <c r="AU300" s="1004"/>
      <c r="AV300" s="1004"/>
      <c r="AW300" s="1004"/>
      <c r="AX300" s="1004"/>
      <c r="AY300" s="1004"/>
      <c r="AZ300" s="1004"/>
      <c r="BA300" s="1004"/>
      <c r="BB300" s="1004"/>
      <c r="BC300" s="1004"/>
      <c r="BD300" s="1004"/>
    </row>
    <row r="301" spans="2:56" s="682" customFormat="1" x14ac:dyDescent="0.2">
      <c r="C301" s="942"/>
      <c r="D301" s="942"/>
      <c r="E301" s="683"/>
      <c r="F301" s="683"/>
      <c r="G301" s="792"/>
      <c r="H301" s="792"/>
      <c r="I301" s="792"/>
      <c r="J301" s="792"/>
      <c r="K301" s="792"/>
      <c r="L301" s="792"/>
      <c r="M301" s="792"/>
      <c r="N301" s="792"/>
      <c r="X301" s="792"/>
      <c r="Y301" s="792"/>
      <c r="Z301" s="792"/>
      <c r="AG301" s="1261"/>
      <c r="AH301" s="1004"/>
      <c r="AI301" s="1004"/>
      <c r="AJ301" s="1004"/>
      <c r="AK301" s="1004"/>
      <c r="AL301" s="1004"/>
      <c r="AM301" s="1004"/>
      <c r="AN301" s="1004"/>
      <c r="AO301" s="1004"/>
      <c r="AP301" s="1004"/>
      <c r="AQ301" s="1004"/>
      <c r="AR301" s="1004"/>
      <c r="AS301" s="1004"/>
      <c r="AT301" s="1004"/>
      <c r="AU301" s="1004"/>
      <c r="AV301" s="1004"/>
      <c r="AW301" s="1004"/>
      <c r="AX301" s="1004"/>
      <c r="AY301" s="1004"/>
      <c r="AZ301" s="1004"/>
      <c r="BA301" s="1004"/>
      <c r="BB301" s="1004"/>
      <c r="BC301" s="1004"/>
      <c r="BD301" s="1004"/>
    </row>
    <row r="302" spans="2:56" s="682" customFormat="1" x14ac:dyDescent="0.2">
      <c r="C302" s="942"/>
      <c r="D302" s="942"/>
      <c r="E302" s="683"/>
      <c r="F302" s="683"/>
      <c r="G302" s="792"/>
      <c r="H302" s="792"/>
      <c r="I302" s="792"/>
      <c r="J302" s="792"/>
      <c r="K302" s="792"/>
      <c r="L302" s="792"/>
      <c r="M302" s="792"/>
      <c r="N302" s="792"/>
      <c r="X302" s="792"/>
      <c r="Y302" s="792"/>
      <c r="Z302" s="792"/>
      <c r="AH302" s="1004"/>
      <c r="AI302" s="1004"/>
      <c r="AJ302" s="1004"/>
      <c r="AK302" s="1004"/>
      <c r="AL302" s="1004"/>
      <c r="AM302" s="1004"/>
      <c r="AN302" s="1004"/>
      <c r="AO302" s="1004"/>
      <c r="AP302" s="1004"/>
      <c r="AQ302" s="1004"/>
      <c r="AR302" s="1004"/>
      <c r="AS302" s="1004"/>
      <c r="AT302" s="1004"/>
      <c r="AU302" s="1004"/>
      <c r="AV302" s="1004"/>
      <c r="AW302" s="1004"/>
      <c r="AX302" s="1004"/>
      <c r="AY302" s="1004"/>
      <c r="AZ302" s="1004"/>
      <c r="BA302" s="1004"/>
      <c r="BB302" s="1004"/>
      <c r="BC302" s="1004"/>
      <c r="BD302" s="1004"/>
    </row>
    <row r="303" spans="2:56" s="682" customFormat="1" x14ac:dyDescent="0.2">
      <c r="C303" s="942"/>
      <c r="D303" s="942"/>
      <c r="E303" s="683"/>
      <c r="F303" s="683"/>
      <c r="G303" s="792"/>
      <c r="H303" s="792"/>
      <c r="I303" s="792"/>
      <c r="J303" s="792"/>
      <c r="K303" s="792"/>
      <c r="L303" s="792"/>
      <c r="M303" s="792"/>
      <c r="N303" s="792"/>
      <c r="X303" s="792"/>
      <c r="Y303" s="792"/>
      <c r="Z303" s="792"/>
      <c r="AH303" s="1004"/>
      <c r="AI303" s="1004"/>
      <c r="AJ303" s="1004"/>
      <c r="AK303" s="1004"/>
      <c r="AL303" s="1004"/>
      <c r="AM303" s="1004"/>
      <c r="AN303" s="1004"/>
      <c r="AO303" s="1004"/>
      <c r="AP303" s="1004"/>
      <c r="AQ303" s="1004"/>
      <c r="AR303" s="1004"/>
      <c r="AS303" s="1004"/>
      <c r="AT303" s="1004"/>
      <c r="AU303" s="1004"/>
      <c r="AV303" s="1004"/>
      <c r="AW303" s="1004"/>
      <c r="AX303" s="1004"/>
      <c r="AY303" s="1004"/>
      <c r="AZ303" s="1004"/>
      <c r="BA303" s="1004"/>
      <c r="BB303" s="1004"/>
      <c r="BC303" s="1004"/>
      <c r="BD303" s="1004"/>
    </row>
    <row r="304" spans="2:56" s="682" customFormat="1" x14ac:dyDescent="0.2">
      <c r="C304" s="942"/>
      <c r="D304" s="942"/>
      <c r="E304" s="683"/>
      <c r="F304" s="683"/>
      <c r="G304" s="792"/>
      <c r="H304" s="792"/>
      <c r="I304" s="792"/>
      <c r="J304" s="792"/>
      <c r="K304" s="792"/>
      <c r="L304" s="792"/>
      <c r="M304" s="792"/>
      <c r="N304" s="792"/>
      <c r="X304" s="792"/>
      <c r="Y304" s="792"/>
      <c r="Z304" s="792"/>
      <c r="AH304" s="1004"/>
      <c r="AI304" s="1004"/>
      <c r="AJ304" s="1004"/>
      <c r="AK304" s="1004"/>
      <c r="AL304" s="1004"/>
      <c r="AM304" s="1004"/>
      <c r="AN304" s="1004"/>
      <c r="AO304" s="1004"/>
      <c r="AP304" s="1004"/>
      <c r="AQ304" s="1004"/>
      <c r="AR304" s="1004"/>
      <c r="AS304" s="1004"/>
      <c r="AT304" s="1004"/>
      <c r="AU304" s="1004"/>
      <c r="AV304" s="1004"/>
      <c r="AW304" s="1004"/>
      <c r="AX304" s="1004"/>
      <c r="AY304" s="1004"/>
      <c r="AZ304" s="1004"/>
      <c r="BA304" s="1004"/>
      <c r="BB304" s="1004"/>
      <c r="BC304" s="1004"/>
      <c r="BD304" s="1004"/>
    </row>
    <row r="305" spans="3:56" s="682" customFormat="1" x14ac:dyDescent="0.2">
      <c r="C305" s="942"/>
      <c r="D305" s="942"/>
      <c r="E305" s="683"/>
      <c r="F305" s="683"/>
      <c r="G305" s="792"/>
      <c r="H305" s="792"/>
      <c r="I305" s="792"/>
      <c r="J305" s="792"/>
      <c r="K305" s="792"/>
      <c r="L305" s="792"/>
      <c r="M305" s="792"/>
      <c r="N305" s="792"/>
      <c r="X305" s="792"/>
      <c r="Y305" s="792"/>
      <c r="Z305" s="792"/>
      <c r="AH305" s="1004"/>
      <c r="AI305" s="1004"/>
      <c r="AJ305" s="1004"/>
      <c r="AK305" s="1004"/>
      <c r="AL305" s="1004"/>
      <c r="AM305" s="1004"/>
      <c r="AN305" s="1004"/>
      <c r="AO305" s="1004"/>
      <c r="AP305" s="1004"/>
      <c r="AQ305" s="1004"/>
      <c r="AR305" s="1004"/>
      <c r="AS305" s="1004"/>
      <c r="AT305" s="1004"/>
      <c r="AU305" s="1004"/>
      <c r="AV305" s="1004"/>
      <c r="AW305" s="1004"/>
      <c r="AX305" s="1004"/>
      <c r="AY305" s="1004"/>
      <c r="AZ305" s="1004"/>
      <c r="BA305" s="1004"/>
      <c r="BB305" s="1004"/>
      <c r="BC305" s="1004"/>
      <c r="BD305" s="1004"/>
    </row>
    <row r="306" spans="3:56" s="682" customFormat="1" x14ac:dyDescent="0.2">
      <c r="C306" s="942"/>
      <c r="D306" s="942"/>
      <c r="E306" s="683"/>
      <c r="F306" s="683"/>
      <c r="G306" s="792"/>
      <c r="H306" s="792"/>
      <c r="I306" s="792"/>
      <c r="J306" s="792"/>
      <c r="K306" s="792"/>
      <c r="L306" s="792"/>
      <c r="M306" s="792"/>
      <c r="N306" s="792"/>
      <c r="X306" s="792"/>
      <c r="Y306" s="792"/>
      <c r="Z306" s="792"/>
      <c r="AG306" s="1261"/>
      <c r="AH306" s="1004"/>
      <c r="AI306" s="1004"/>
      <c r="AJ306" s="1004"/>
      <c r="AK306" s="1004"/>
      <c r="AL306" s="1004"/>
      <c r="AM306" s="1004"/>
      <c r="AN306" s="1004"/>
      <c r="AO306" s="1004"/>
      <c r="AP306" s="1004"/>
      <c r="AQ306" s="1004"/>
      <c r="AR306" s="1004"/>
      <c r="AS306" s="1004"/>
      <c r="AT306" s="1004"/>
      <c r="AU306" s="1004"/>
      <c r="AV306" s="1004"/>
      <c r="AW306" s="1004"/>
      <c r="AX306" s="1004"/>
      <c r="AY306" s="1004"/>
      <c r="AZ306" s="1004"/>
      <c r="BA306" s="1004"/>
      <c r="BB306" s="1004"/>
      <c r="BC306" s="1004"/>
      <c r="BD306" s="1004"/>
    </row>
    <row r="307" spans="3:56" s="682" customFormat="1" x14ac:dyDescent="0.2">
      <c r="C307" s="942"/>
      <c r="D307" s="942"/>
      <c r="E307" s="683"/>
      <c r="F307" s="683"/>
      <c r="G307" s="792"/>
      <c r="H307" s="792"/>
      <c r="I307" s="792"/>
      <c r="J307" s="792"/>
      <c r="K307" s="792"/>
      <c r="L307" s="792"/>
      <c r="M307" s="792"/>
      <c r="N307" s="792"/>
      <c r="X307" s="792"/>
      <c r="Y307" s="792"/>
      <c r="Z307" s="792"/>
      <c r="AH307" s="1004"/>
      <c r="AI307" s="1004"/>
      <c r="AJ307" s="1004"/>
      <c r="AK307" s="1004"/>
      <c r="AL307" s="1004"/>
      <c r="AM307" s="1004"/>
      <c r="AN307" s="1004"/>
      <c r="AO307" s="1004"/>
      <c r="AP307" s="1004"/>
      <c r="AQ307" s="1004"/>
      <c r="AR307" s="1004"/>
      <c r="AS307" s="1004"/>
      <c r="AT307" s="1004"/>
      <c r="AU307" s="1004"/>
      <c r="AV307" s="1004"/>
      <c r="AW307" s="1004"/>
      <c r="AX307" s="1004"/>
      <c r="AY307" s="1004"/>
      <c r="AZ307" s="1004"/>
      <c r="BA307" s="1004"/>
      <c r="BB307" s="1004"/>
      <c r="BC307" s="1004"/>
      <c r="BD307" s="1004"/>
    </row>
    <row r="308" spans="3:56" s="682" customFormat="1" x14ac:dyDescent="0.2">
      <c r="C308" s="942"/>
      <c r="D308" s="942"/>
      <c r="E308" s="683"/>
      <c r="F308" s="683"/>
      <c r="G308" s="792"/>
      <c r="H308" s="792"/>
      <c r="I308" s="792"/>
      <c r="J308" s="792"/>
      <c r="K308" s="792"/>
      <c r="L308" s="792"/>
      <c r="M308" s="792"/>
      <c r="N308" s="792"/>
      <c r="X308" s="792"/>
      <c r="Y308" s="792"/>
      <c r="Z308" s="792"/>
      <c r="AH308" s="1004"/>
      <c r="AI308" s="1004"/>
      <c r="AJ308" s="1004"/>
      <c r="AK308" s="1004"/>
      <c r="AL308" s="1004"/>
      <c r="AM308" s="1004"/>
      <c r="AN308" s="1004"/>
      <c r="AO308" s="1004"/>
      <c r="AP308" s="1004"/>
      <c r="AQ308" s="1004"/>
      <c r="AR308" s="1004"/>
      <c r="AS308" s="1004"/>
      <c r="AT308" s="1004"/>
      <c r="AU308" s="1004"/>
      <c r="AV308" s="1004"/>
      <c r="AW308" s="1004"/>
      <c r="AX308" s="1004"/>
      <c r="AY308" s="1004"/>
      <c r="AZ308" s="1004"/>
      <c r="BA308" s="1004"/>
      <c r="BB308" s="1004"/>
      <c r="BC308" s="1004"/>
      <c r="BD308" s="1004"/>
    </row>
    <row r="309" spans="3:56" s="682" customFormat="1" x14ac:dyDescent="0.2">
      <c r="C309" s="942"/>
      <c r="D309" s="942"/>
      <c r="E309" s="683"/>
      <c r="F309" s="683"/>
      <c r="G309" s="792"/>
      <c r="H309" s="792"/>
      <c r="I309" s="792"/>
      <c r="J309" s="792"/>
      <c r="K309" s="792"/>
      <c r="L309" s="792"/>
      <c r="M309" s="792"/>
      <c r="N309" s="792"/>
      <c r="X309" s="792"/>
      <c r="Y309" s="792"/>
      <c r="Z309" s="792"/>
      <c r="AH309" s="1004"/>
      <c r="AI309" s="1004"/>
      <c r="AJ309" s="1004"/>
      <c r="AK309" s="1004"/>
      <c r="AL309" s="1004"/>
      <c r="AM309" s="1004"/>
      <c r="AN309" s="1004"/>
      <c r="AO309" s="1004"/>
      <c r="AP309" s="1004"/>
      <c r="AQ309" s="1004"/>
      <c r="AR309" s="1004"/>
      <c r="AS309" s="1004"/>
      <c r="AT309" s="1004"/>
      <c r="AU309" s="1004"/>
      <c r="AV309" s="1004"/>
      <c r="AW309" s="1004"/>
      <c r="AX309" s="1004"/>
      <c r="AY309" s="1004"/>
      <c r="AZ309" s="1004"/>
      <c r="BA309" s="1004"/>
      <c r="BB309" s="1004"/>
      <c r="BC309" s="1004"/>
      <c r="BD309" s="1004"/>
    </row>
    <row r="310" spans="3:56" s="682" customFormat="1" x14ac:dyDescent="0.2">
      <c r="C310" s="942"/>
      <c r="D310" s="942"/>
      <c r="E310" s="683"/>
      <c r="F310" s="683"/>
      <c r="G310" s="792"/>
      <c r="H310" s="792"/>
      <c r="I310" s="792"/>
      <c r="J310" s="792"/>
      <c r="K310" s="792"/>
      <c r="L310" s="792"/>
      <c r="M310" s="792"/>
      <c r="N310" s="792"/>
      <c r="X310" s="792"/>
      <c r="Y310" s="792"/>
      <c r="Z310" s="792"/>
      <c r="AH310" s="1004"/>
      <c r="AI310" s="1004"/>
      <c r="AJ310" s="1004"/>
      <c r="AK310" s="1004"/>
      <c r="AL310" s="1004"/>
      <c r="AM310" s="1004"/>
      <c r="AN310" s="1004"/>
      <c r="AO310" s="1004"/>
      <c r="AP310" s="1004"/>
      <c r="AQ310" s="1004"/>
      <c r="AR310" s="1004"/>
      <c r="AS310" s="1004"/>
      <c r="AT310" s="1004"/>
      <c r="AU310" s="1004"/>
      <c r="AV310" s="1004"/>
      <c r="AW310" s="1004"/>
      <c r="AX310" s="1004"/>
      <c r="AY310" s="1004"/>
      <c r="AZ310" s="1004"/>
      <c r="BA310" s="1004"/>
      <c r="BB310" s="1004"/>
      <c r="BC310" s="1004"/>
      <c r="BD310" s="1004"/>
    </row>
    <row r="311" spans="3:56" s="682" customFormat="1" x14ac:dyDescent="0.2">
      <c r="C311" s="942"/>
      <c r="D311" s="942"/>
      <c r="E311" s="683"/>
      <c r="F311" s="683"/>
      <c r="G311" s="792"/>
      <c r="H311" s="792"/>
      <c r="I311" s="792"/>
      <c r="J311" s="792"/>
      <c r="K311" s="792"/>
      <c r="L311" s="792"/>
      <c r="M311" s="792"/>
      <c r="N311" s="792"/>
      <c r="X311" s="792"/>
      <c r="Y311" s="792"/>
      <c r="Z311" s="792"/>
      <c r="AG311" s="1261"/>
      <c r="AH311" s="1004"/>
      <c r="AI311" s="1004"/>
      <c r="AJ311" s="1004"/>
      <c r="AK311" s="1004"/>
      <c r="AL311" s="1004"/>
      <c r="AM311" s="1004"/>
      <c r="AN311" s="1004"/>
      <c r="AO311" s="1004"/>
      <c r="AP311" s="1004"/>
      <c r="AQ311" s="1004"/>
      <c r="AR311" s="1004"/>
      <c r="AS311" s="1004"/>
      <c r="AT311" s="1004"/>
      <c r="AU311" s="1004"/>
      <c r="AV311" s="1004"/>
      <c r="AW311" s="1004"/>
      <c r="AX311" s="1004"/>
      <c r="AY311" s="1004"/>
      <c r="AZ311" s="1004"/>
      <c r="BA311" s="1004"/>
      <c r="BB311" s="1004"/>
      <c r="BC311" s="1004"/>
      <c r="BD311" s="1004"/>
    </row>
    <row r="312" spans="3:56" s="682" customFormat="1" x14ac:dyDescent="0.2">
      <c r="C312" s="942"/>
      <c r="D312" s="942"/>
      <c r="E312" s="683"/>
      <c r="F312" s="683"/>
      <c r="G312" s="792"/>
      <c r="H312" s="792"/>
      <c r="I312" s="792"/>
      <c r="J312" s="792"/>
      <c r="K312" s="792"/>
      <c r="L312" s="792"/>
      <c r="M312" s="792"/>
      <c r="N312" s="792"/>
      <c r="X312" s="792"/>
      <c r="Y312" s="792"/>
      <c r="Z312" s="792"/>
      <c r="AH312" s="1004"/>
      <c r="AI312" s="1004"/>
      <c r="AJ312" s="1004"/>
      <c r="AK312" s="1004"/>
      <c r="AL312" s="1004"/>
      <c r="AM312" s="1004"/>
      <c r="AN312" s="1004"/>
      <c r="AO312" s="1004"/>
      <c r="AP312" s="1004"/>
      <c r="AQ312" s="1004"/>
      <c r="AR312" s="1004"/>
      <c r="AS312" s="1004"/>
      <c r="AT312" s="1004"/>
      <c r="AU312" s="1004"/>
      <c r="AV312" s="1004"/>
      <c r="AW312" s="1004"/>
      <c r="AX312" s="1004"/>
      <c r="AY312" s="1004"/>
      <c r="AZ312" s="1004"/>
      <c r="BA312" s="1004"/>
      <c r="BB312" s="1004"/>
      <c r="BC312" s="1004"/>
      <c r="BD312" s="1004"/>
    </row>
    <row r="313" spans="3:56" s="682" customFormat="1" x14ac:dyDescent="0.2">
      <c r="C313" s="942"/>
      <c r="D313" s="942"/>
      <c r="E313" s="683"/>
      <c r="F313" s="683"/>
      <c r="G313" s="792"/>
      <c r="H313" s="792"/>
      <c r="I313" s="792"/>
      <c r="J313" s="792"/>
      <c r="K313" s="792"/>
      <c r="L313" s="792"/>
      <c r="M313" s="792"/>
      <c r="N313" s="792"/>
      <c r="X313" s="792"/>
      <c r="Y313" s="792"/>
      <c r="Z313" s="792"/>
      <c r="AH313" s="1004"/>
      <c r="AI313" s="1004"/>
      <c r="AJ313" s="1004"/>
      <c r="AK313" s="1004"/>
      <c r="AL313" s="1004"/>
      <c r="AM313" s="1004"/>
      <c r="AN313" s="1004"/>
      <c r="AO313" s="1004"/>
      <c r="AP313" s="1004"/>
      <c r="AQ313" s="1004"/>
      <c r="AR313" s="1004"/>
      <c r="AS313" s="1004"/>
      <c r="AT313" s="1004"/>
      <c r="AU313" s="1004"/>
      <c r="AV313" s="1004"/>
      <c r="AW313" s="1004"/>
      <c r="AX313" s="1004"/>
      <c r="AY313" s="1004"/>
      <c r="AZ313" s="1004"/>
      <c r="BA313" s="1004"/>
      <c r="BB313" s="1004"/>
      <c r="BC313" s="1004"/>
      <c r="BD313" s="1004"/>
    </row>
    <row r="314" spans="3:56" s="682" customFormat="1" x14ac:dyDescent="0.2">
      <c r="C314" s="942"/>
      <c r="D314" s="942"/>
      <c r="E314" s="683"/>
      <c r="F314" s="683"/>
      <c r="G314" s="792"/>
      <c r="H314" s="792"/>
      <c r="I314" s="792"/>
      <c r="J314" s="792"/>
      <c r="K314" s="792"/>
      <c r="L314" s="792"/>
      <c r="M314" s="792"/>
      <c r="N314" s="792"/>
      <c r="X314" s="792"/>
      <c r="Y314" s="792"/>
      <c r="Z314" s="792"/>
      <c r="AH314" s="1004"/>
      <c r="AI314" s="1004"/>
      <c r="AJ314" s="1004"/>
      <c r="AK314" s="1004"/>
      <c r="AL314" s="1004"/>
      <c r="AM314" s="1004"/>
      <c r="AN314" s="1004"/>
      <c r="AO314" s="1004"/>
      <c r="AP314" s="1004"/>
      <c r="AQ314" s="1004"/>
      <c r="AR314" s="1004"/>
      <c r="AS314" s="1004"/>
      <c r="AT314" s="1004"/>
      <c r="AU314" s="1004"/>
      <c r="AV314" s="1004"/>
      <c r="AW314" s="1004"/>
      <c r="AX314" s="1004"/>
      <c r="AY314" s="1004"/>
      <c r="AZ314" s="1004"/>
      <c r="BA314" s="1004"/>
      <c r="BB314" s="1004"/>
      <c r="BC314" s="1004"/>
      <c r="BD314" s="1004"/>
    </row>
    <row r="315" spans="3:56" s="682" customFormat="1" x14ac:dyDescent="0.2">
      <c r="C315" s="942"/>
      <c r="D315" s="942"/>
      <c r="E315" s="683"/>
      <c r="F315" s="683"/>
      <c r="G315" s="792"/>
      <c r="H315" s="792"/>
      <c r="I315" s="792"/>
      <c r="J315" s="792"/>
      <c r="K315" s="792"/>
      <c r="L315" s="792"/>
      <c r="M315" s="792"/>
      <c r="N315" s="792"/>
      <c r="X315" s="792"/>
      <c r="Y315" s="792"/>
      <c r="Z315" s="792"/>
      <c r="AH315" s="1004"/>
      <c r="AI315" s="1004"/>
      <c r="AJ315" s="1004"/>
      <c r="AK315" s="1004"/>
      <c r="AL315" s="1004"/>
      <c r="AM315" s="1004"/>
      <c r="AN315" s="1004"/>
      <c r="AO315" s="1004"/>
      <c r="AP315" s="1004"/>
      <c r="AQ315" s="1004"/>
      <c r="AR315" s="1004"/>
      <c r="AS315" s="1004"/>
      <c r="AT315" s="1004"/>
      <c r="AU315" s="1004"/>
      <c r="AV315" s="1004"/>
      <c r="AW315" s="1004"/>
      <c r="AX315" s="1004"/>
      <c r="AY315" s="1004"/>
      <c r="AZ315" s="1004"/>
      <c r="BA315" s="1004"/>
      <c r="BB315" s="1004"/>
      <c r="BC315" s="1004"/>
      <c r="BD315" s="1004"/>
    </row>
    <row r="316" spans="3:56" s="682" customFormat="1" x14ac:dyDescent="0.2">
      <c r="C316" s="942"/>
      <c r="D316" s="942"/>
      <c r="E316" s="683"/>
      <c r="F316" s="683"/>
      <c r="G316" s="792"/>
      <c r="H316" s="792"/>
      <c r="I316" s="792"/>
      <c r="J316" s="792"/>
      <c r="K316" s="792"/>
      <c r="L316" s="792"/>
      <c r="M316" s="792"/>
      <c r="N316" s="792"/>
      <c r="X316" s="792"/>
      <c r="Y316" s="792"/>
      <c r="Z316" s="792"/>
      <c r="AG316" s="1261"/>
      <c r="AH316" s="1004"/>
      <c r="AI316" s="1004"/>
      <c r="AJ316" s="1004"/>
      <c r="AK316" s="1004"/>
      <c r="AL316" s="1004"/>
      <c r="AM316" s="1004"/>
      <c r="AN316" s="1004"/>
      <c r="AO316" s="1004"/>
      <c r="AP316" s="1004"/>
      <c r="AQ316" s="1004"/>
      <c r="AR316" s="1004"/>
      <c r="AS316" s="1004"/>
      <c r="AT316" s="1004"/>
      <c r="AU316" s="1004"/>
      <c r="AV316" s="1004"/>
      <c r="AW316" s="1004"/>
      <c r="AX316" s="1004"/>
      <c r="AY316" s="1004"/>
      <c r="AZ316" s="1004"/>
      <c r="BA316" s="1004"/>
      <c r="BB316" s="1004"/>
      <c r="BC316" s="1004"/>
      <c r="BD316" s="1004"/>
    </row>
    <row r="317" spans="3:56" s="682" customFormat="1" x14ac:dyDescent="0.2">
      <c r="C317" s="942"/>
      <c r="D317" s="942"/>
      <c r="E317" s="683"/>
      <c r="F317" s="683"/>
      <c r="G317" s="792"/>
      <c r="H317" s="792"/>
      <c r="I317" s="792"/>
      <c r="J317" s="792"/>
      <c r="K317" s="792"/>
      <c r="L317" s="792"/>
      <c r="M317" s="792"/>
      <c r="N317" s="792"/>
      <c r="X317" s="792"/>
      <c r="Y317" s="792"/>
      <c r="Z317" s="792"/>
      <c r="AH317" s="1004"/>
      <c r="AI317" s="1004"/>
      <c r="AJ317" s="1004"/>
      <c r="AK317" s="1004"/>
      <c r="AL317" s="1004"/>
      <c r="AM317" s="1004"/>
      <c r="AN317" s="1004"/>
      <c r="AO317" s="1004"/>
      <c r="AP317" s="1004"/>
      <c r="AQ317" s="1004"/>
      <c r="AR317" s="1004"/>
      <c r="AS317" s="1004"/>
      <c r="AT317" s="1004"/>
      <c r="AU317" s="1004"/>
      <c r="AV317" s="1004"/>
      <c r="AW317" s="1004"/>
      <c r="AX317" s="1004"/>
      <c r="AY317" s="1004"/>
      <c r="AZ317" s="1004"/>
      <c r="BA317" s="1004"/>
      <c r="BB317" s="1004"/>
      <c r="BC317" s="1004"/>
      <c r="BD317" s="1004"/>
    </row>
    <row r="318" spans="3:56" s="682" customFormat="1" x14ac:dyDescent="0.2">
      <c r="C318" s="942"/>
      <c r="D318" s="942"/>
      <c r="E318" s="683"/>
      <c r="F318" s="683"/>
      <c r="G318" s="792"/>
      <c r="H318" s="792"/>
      <c r="I318" s="792"/>
      <c r="J318" s="792"/>
      <c r="K318" s="792"/>
      <c r="L318" s="792"/>
      <c r="M318" s="792"/>
      <c r="N318" s="792"/>
      <c r="X318" s="792"/>
      <c r="Y318" s="792"/>
      <c r="Z318" s="792"/>
      <c r="AH318" s="1004"/>
      <c r="AI318" s="1004"/>
      <c r="AJ318" s="1004"/>
      <c r="AK318" s="1004"/>
      <c r="AL318" s="1004"/>
      <c r="AM318" s="1004"/>
      <c r="AN318" s="1004"/>
      <c r="AO318" s="1004"/>
      <c r="AP318" s="1004"/>
      <c r="AQ318" s="1004"/>
      <c r="AR318" s="1004"/>
      <c r="AS318" s="1004"/>
      <c r="AT318" s="1004"/>
      <c r="AU318" s="1004"/>
      <c r="AV318" s="1004"/>
      <c r="AW318" s="1004"/>
      <c r="AX318" s="1004"/>
      <c r="AY318" s="1004"/>
      <c r="AZ318" s="1004"/>
      <c r="BA318" s="1004"/>
      <c r="BB318" s="1004"/>
      <c r="BC318" s="1004"/>
      <c r="BD318" s="1004"/>
    </row>
    <row r="319" spans="3:56" s="682" customFormat="1" x14ac:dyDescent="0.2">
      <c r="C319" s="942"/>
      <c r="D319" s="942"/>
      <c r="E319" s="683"/>
      <c r="F319" s="683"/>
      <c r="G319" s="792"/>
      <c r="H319" s="792"/>
      <c r="I319" s="792"/>
      <c r="J319" s="792"/>
      <c r="K319" s="792"/>
      <c r="L319" s="792"/>
      <c r="M319" s="792"/>
      <c r="N319" s="792"/>
      <c r="X319" s="792"/>
      <c r="Y319" s="792"/>
      <c r="Z319" s="792"/>
      <c r="AH319" s="1004"/>
      <c r="AI319" s="1004"/>
      <c r="AJ319" s="1004"/>
      <c r="AK319" s="1004"/>
      <c r="AL319" s="1004"/>
      <c r="AM319" s="1004"/>
      <c r="AN319" s="1004"/>
      <c r="AO319" s="1004"/>
      <c r="AP319" s="1004"/>
      <c r="AQ319" s="1004"/>
      <c r="AR319" s="1004"/>
      <c r="AS319" s="1004"/>
      <c r="AT319" s="1004"/>
      <c r="AU319" s="1004"/>
      <c r="AV319" s="1004"/>
      <c r="AW319" s="1004"/>
      <c r="AX319" s="1004"/>
      <c r="AY319" s="1004"/>
      <c r="AZ319" s="1004"/>
      <c r="BA319" s="1004"/>
      <c r="BB319" s="1004"/>
      <c r="BC319" s="1004"/>
      <c r="BD319" s="1004"/>
    </row>
    <row r="320" spans="3:56" s="682" customFormat="1" x14ac:dyDescent="0.2">
      <c r="C320" s="942"/>
      <c r="D320" s="942"/>
      <c r="E320" s="683"/>
      <c r="F320" s="683"/>
      <c r="G320" s="792"/>
      <c r="H320" s="792"/>
      <c r="I320" s="792"/>
      <c r="J320" s="792"/>
      <c r="K320" s="792"/>
      <c r="L320" s="792"/>
      <c r="M320" s="792"/>
      <c r="N320" s="792"/>
      <c r="X320" s="792"/>
      <c r="Y320" s="792"/>
      <c r="Z320" s="792"/>
      <c r="AH320" s="1004"/>
      <c r="AI320" s="1004"/>
      <c r="AJ320" s="1004"/>
      <c r="AK320" s="1004"/>
      <c r="AL320" s="1004"/>
      <c r="AM320" s="1004"/>
      <c r="AN320" s="1004"/>
      <c r="AO320" s="1004"/>
      <c r="AP320" s="1004"/>
      <c r="AQ320" s="1004"/>
      <c r="AR320" s="1004"/>
      <c r="AS320" s="1004"/>
      <c r="AT320" s="1004"/>
      <c r="AU320" s="1004"/>
      <c r="AV320" s="1004"/>
      <c r="AW320" s="1004"/>
      <c r="AX320" s="1004"/>
      <c r="AY320" s="1004"/>
      <c r="AZ320" s="1004"/>
      <c r="BA320" s="1004"/>
      <c r="BB320" s="1004"/>
      <c r="BC320" s="1004"/>
      <c r="BD320" s="1004"/>
    </row>
    <row r="321" spans="3:56" s="682" customFormat="1" x14ac:dyDescent="0.2">
      <c r="C321" s="942"/>
      <c r="D321" s="942"/>
      <c r="E321" s="683"/>
      <c r="F321" s="683"/>
      <c r="G321" s="792"/>
      <c r="H321" s="792"/>
      <c r="I321" s="792"/>
      <c r="J321" s="792"/>
      <c r="K321" s="792"/>
      <c r="L321" s="792"/>
      <c r="M321" s="792"/>
      <c r="N321" s="792"/>
      <c r="X321" s="792"/>
      <c r="Y321" s="792"/>
      <c r="Z321" s="792"/>
      <c r="AH321" s="1004"/>
      <c r="AI321" s="1004"/>
      <c r="AJ321" s="1004"/>
      <c r="AK321" s="1004"/>
      <c r="AL321" s="1004"/>
      <c r="AM321" s="1004"/>
      <c r="AN321" s="1004"/>
      <c r="AO321" s="1004"/>
      <c r="AP321" s="1004"/>
      <c r="AQ321" s="1004"/>
      <c r="AR321" s="1004"/>
      <c r="AS321" s="1004"/>
      <c r="AT321" s="1004"/>
      <c r="AU321" s="1004"/>
      <c r="AV321" s="1004"/>
      <c r="AW321" s="1004"/>
      <c r="AX321" s="1004"/>
      <c r="AY321" s="1004"/>
      <c r="AZ321" s="1004"/>
      <c r="BA321" s="1004"/>
      <c r="BB321" s="1004"/>
      <c r="BC321" s="1004"/>
      <c r="BD321" s="1004"/>
    </row>
    <row r="322" spans="3:56" s="682" customFormat="1" x14ac:dyDescent="0.2">
      <c r="C322" s="942"/>
      <c r="D322" s="942"/>
      <c r="E322" s="683"/>
      <c r="F322" s="683"/>
      <c r="G322" s="792"/>
      <c r="H322" s="792"/>
      <c r="I322" s="792"/>
      <c r="J322" s="792"/>
      <c r="K322" s="792"/>
      <c r="L322" s="792"/>
      <c r="M322" s="792"/>
      <c r="N322" s="792"/>
      <c r="X322" s="792"/>
      <c r="Y322" s="792"/>
      <c r="Z322" s="792"/>
      <c r="AH322" s="1004"/>
      <c r="AI322" s="1004"/>
      <c r="AJ322" s="1004"/>
      <c r="AK322" s="1004"/>
      <c r="AL322" s="1004"/>
      <c r="AM322" s="1004"/>
      <c r="AN322" s="1004"/>
      <c r="AO322" s="1004"/>
      <c r="AP322" s="1004"/>
      <c r="AQ322" s="1004"/>
      <c r="AR322" s="1004"/>
      <c r="AS322" s="1004"/>
      <c r="AT322" s="1004"/>
      <c r="AU322" s="1004"/>
      <c r="AV322" s="1004"/>
      <c r="AW322" s="1004"/>
      <c r="AX322" s="1004"/>
      <c r="AY322" s="1004"/>
      <c r="AZ322" s="1004"/>
      <c r="BA322" s="1004"/>
      <c r="BB322" s="1004"/>
      <c r="BC322" s="1004"/>
      <c r="BD322" s="1004"/>
    </row>
    <row r="323" spans="3:56" s="682" customFormat="1" x14ac:dyDescent="0.2">
      <c r="C323" s="942"/>
      <c r="D323" s="942"/>
      <c r="E323" s="683"/>
      <c r="F323" s="683"/>
      <c r="G323" s="792"/>
      <c r="H323" s="792"/>
      <c r="I323" s="792"/>
      <c r="J323" s="792"/>
      <c r="K323" s="792"/>
      <c r="L323" s="792"/>
      <c r="M323" s="792"/>
      <c r="N323" s="792"/>
      <c r="X323" s="792"/>
      <c r="Y323" s="792"/>
      <c r="Z323" s="792"/>
      <c r="AH323" s="1004"/>
      <c r="AI323" s="1004"/>
      <c r="AJ323" s="1004"/>
      <c r="AK323" s="1004"/>
      <c r="AL323" s="1004"/>
      <c r="AM323" s="1004"/>
      <c r="AN323" s="1004"/>
      <c r="AO323" s="1004"/>
      <c r="AP323" s="1004"/>
      <c r="AQ323" s="1004"/>
      <c r="AR323" s="1004"/>
      <c r="AS323" s="1004"/>
      <c r="AT323" s="1004"/>
      <c r="AU323" s="1004"/>
      <c r="AV323" s="1004"/>
      <c r="AW323" s="1004"/>
      <c r="AX323" s="1004"/>
      <c r="AY323" s="1004"/>
      <c r="AZ323" s="1004"/>
      <c r="BA323" s="1004"/>
      <c r="BB323" s="1004"/>
      <c r="BC323" s="1004"/>
      <c r="BD323" s="1004"/>
    </row>
    <row r="324" spans="3:56" s="682" customFormat="1" x14ac:dyDescent="0.2">
      <c r="C324" s="942"/>
      <c r="D324" s="942"/>
      <c r="E324" s="683"/>
      <c r="F324" s="683"/>
      <c r="G324" s="792"/>
      <c r="H324" s="792"/>
      <c r="I324" s="792"/>
      <c r="J324" s="792"/>
      <c r="K324" s="792"/>
      <c r="L324" s="792"/>
      <c r="M324" s="792"/>
      <c r="N324" s="792"/>
      <c r="X324" s="792"/>
      <c r="Y324" s="792"/>
      <c r="Z324" s="792"/>
      <c r="AH324" s="1004"/>
      <c r="AI324" s="1004"/>
      <c r="AJ324" s="1004"/>
      <c r="AK324" s="1004"/>
      <c r="AL324" s="1004"/>
      <c r="AM324" s="1004"/>
      <c r="AN324" s="1004"/>
      <c r="AO324" s="1004"/>
      <c r="AP324" s="1004"/>
      <c r="AQ324" s="1004"/>
      <c r="AR324" s="1004"/>
      <c r="AS324" s="1004"/>
      <c r="AT324" s="1004"/>
      <c r="AU324" s="1004"/>
      <c r="AV324" s="1004"/>
      <c r="AW324" s="1004"/>
      <c r="AX324" s="1004"/>
      <c r="AY324" s="1004"/>
      <c r="AZ324" s="1004"/>
      <c r="BA324" s="1004"/>
      <c r="BB324" s="1004"/>
      <c r="BC324" s="1004"/>
      <c r="BD324" s="1004"/>
    </row>
    <row r="325" spans="3:56" s="682" customFormat="1" x14ac:dyDescent="0.2">
      <c r="C325" s="942"/>
      <c r="D325" s="942"/>
      <c r="E325" s="683"/>
      <c r="F325" s="683"/>
      <c r="G325" s="792"/>
      <c r="H325" s="792"/>
      <c r="I325" s="792"/>
      <c r="J325" s="792"/>
      <c r="K325" s="792"/>
      <c r="L325" s="792"/>
      <c r="M325" s="792"/>
      <c r="N325" s="792"/>
      <c r="X325" s="792"/>
      <c r="Y325" s="792"/>
      <c r="Z325" s="792"/>
      <c r="AH325" s="1004"/>
      <c r="AI325" s="1004"/>
      <c r="AJ325" s="1004"/>
      <c r="AK325" s="1004"/>
      <c r="AL325" s="1004"/>
      <c r="AM325" s="1004"/>
      <c r="AN325" s="1004"/>
      <c r="AO325" s="1004"/>
      <c r="AP325" s="1004"/>
      <c r="AQ325" s="1004"/>
      <c r="AR325" s="1004"/>
      <c r="AS325" s="1004"/>
      <c r="AT325" s="1004"/>
      <c r="AU325" s="1004"/>
      <c r="AV325" s="1004"/>
      <c r="AW325" s="1004"/>
      <c r="AX325" s="1004"/>
      <c r="AY325" s="1004"/>
      <c r="AZ325" s="1004"/>
      <c r="BA325" s="1004"/>
      <c r="BB325" s="1004"/>
      <c r="BC325" s="1004"/>
      <c r="BD325" s="1004"/>
    </row>
    <row r="326" spans="3:56" s="682" customFormat="1" x14ac:dyDescent="0.2">
      <c r="C326" s="942"/>
      <c r="D326" s="942"/>
      <c r="E326" s="683"/>
      <c r="F326" s="683"/>
      <c r="G326" s="792"/>
      <c r="H326" s="792"/>
      <c r="I326" s="792"/>
      <c r="J326" s="792"/>
      <c r="K326" s="792"/>
      <c r="L326" s="792"/>
      <c r="M326" s="792"/>
      <c r="N326" s="792"/>
      <c r="X326" s="792"/>
      <c r="Y326" s="792"/>
      <c r="Z326" s="792"/>
      <c r="AH326" s="1004"/>
      <c r="AI326" s="1004"/>
      <c r="AJ326" s="1004"/>
      <c r="AK326" s="1004"/>
      <c r="AL326" s="1004"/>
      <c r="AM326" s="1004"/>
      <c r="AN326" s="1004"/>
      <c r="AO326" s="1004"/>
      <c r="AP326" s="1004"/>
      <c r="AQ326" s="1004"/>
      <c r="AR326" s="1004"/>
      <c r="AS326" s="1004"/>
      <c r="AT326" s="1004"/>
      <c r="AU326" s="1004"/>
      <c r="AV326" s="1004"/>
      <c r="AW326" s="1004"/>
      <c r="AX326" s="1004"/>
      <c r="AY326" s="1004"/>
      <c r="AZ326" s="1004"/>
      <c r="BA326" s="1004"/>
      <c r="BB326" s="1004"/>
      <c r="BC326" s="1004"/>
      <c r="BD326" s="1004"/>
    </row>
    <row r="327" spans="3:56" s="682" customFormat="1" x14ac:dyDescent="0.2">
      <c r="C327" s="942"/>
      <c r="D327" s="942"/>
      <c r="E327" s="683"/>
      <c r="F327" s="683"/>
      <c r="G327" s="792"/>
      <c r="H327" s="792"/>
      <c r="I327" s="792"/>
      <c r="J327" s="792"/>
      <c r="K327" s="792"/>
      <c r="L327" s="792"/>
      <c r="M327" s="792"/>
      <c r="N327" s="792"/>
      <c r="X327" s="792"/>
      <c r="Y327" s="792"/>
      <c r="Z327" s="792"/>
      <c r="AG327" s="1261"/>
      <c r="AH327" s="1004"/>
      <c r="AI327" s="1004"/>
      <c r="AJ327" s="1004"/>
      <c r="AK327" s="1004"/>
      <c r="AL327" s="1004"/>
      <c r="AM327" s="1004"/>
      <c r="AN327" s="1004"/>
      <c r="AO327" s="1004"/>
      <c r="AP327" s="1004"/>
      <c r="AQ327" s="1004"/>
      <c r="AR327" s="1004"/>
      <c r="AS327" s="1004"/>
      <c r="AT327" s="1004"/>
      <c r="AU327" s="1004"/>
      <c r="AV327" s="1004"/>
      <c r="AW327" s="1004"/>
      <c r="AX327" s="1004"/>
      <c r="AY327" s="1004"/>
      <c r="AZ327" s="1004"/>
      <c r="BA327" s="1004"/>
      <c r="BB327" s="1004"/>
      <c r="BC327" s="1004"/>
      <c r="BD327" s="1004"/>
    </row>
    <row r="328" spans="3:56" s="682" customFormat="1" x14ac:dyDescent="0.2">
      <c r="C328" s="942"/>
      <c r="D328" s="942"/>
      <c r="E328" s="683"/>
      <c r="F328" s="683"/>
      <c r="G328" s="792"/>
      <c r="H328" s="792"/>
      <c r="I328" s="792"/>
      <c r="J328" s="792"/>
      <c r="K328" s="792"/>
      <c r="L328" s="792"/>
      <c r="M328" s="792"/>
      <c r="N328" s="792"/>
      <c r="X328" s="792"/>
      <c r="Y328" s="792"/>
      <c r="Z328" s="792"/>
      <c r="AH328" s="1004"/>
      <c r="AI328" s="1004"/>
      <c r="AJ328" s="1004"/>
      <c r="AK328" s="1004"/>
      <c r="AL328" s="1004"/>
      <c r="AM328" s="1004"/>
      <c r="AN328" s="1004"/>
      <c r="AO328" s="1004"/>
      <c r="AP328" s="1004"/>
      <c r="AQ328" s="1004"/>
      <c r="AR328" s="1004"/>
      <c r="AS328" s="1004"/>
      <c r="AT328" s="1004"/>
      <c r="AU328" s="1004"/>
      <c r="AV328" s="1004"/>
      <c r="AW328" s="1004"/>
      <c r="AX328" s="1004"/>
      <c r="AY328" s="1004"/>
      <c r="AZ328" s="1004"/>
      <c r="BA328" s="1004"/>
      <c r="BB328" s="1004"/>
      <c r="BC328" s="1004"/>
      <c r="BD328" s="1004"/>
    </row>
    <row r="329" spans="3:56" s="682" customFormat="1" x14ac:dyDescent="0.2">
      <c r="C329" s="942"/>
      <c r="D329" s="942"/>
      <c r="E329" s="683"/>
      <c r="F329" s="683"/>
      <c r="G329" s="792"/>
      <c r="H329" s="792"/>
      <c r="I329" s="792"/>
      <c r="J329" s="792"/>
      <c r="K329" s="792"/>
      <c r="L329" s="792"/>
      <c r="M329" s="792"/>
      <c r="N329" s="792"/>
      <c r="X329" s="792"/>
      <c r="Y329" s="792"/>
      <c r="Z329" s="792"/>
      <c r="AH329" s="1004"/>
      <c r="AI329" s="1004"/>
      <c r="AJ329" s="1004"/>
      <c r="AK329" s="1004"/>
      <c r="AL329" s="1004"/>
      <c r="AM329" s="1004"/>
      <c r="AN329" s="1004"/>
      <c r="AO329" s="1004"/>
      <c r="AP329" s="1004"/>
      <c r="AQ329" s="1004"/>
      <c r="AR329" s="1004"/>
      <c r="AS329" s="1004"/>
      <c r="AT329" s="1004"/>
      <c r="AU329" s="1004"/>
      <c r="AV329" s="1004"/>
      <c r="AW329" s="1004"/>
      <c r="AX329" s="1004"/>
      <c r="AY329" s="1004"/>
      <c r="AZ329" s="1004"/>
      <c r="BA329" s="1004"/>
      <c r="BB329" s="1004"/>
      <c r="BC329" s="1004"/>
      <c r="BD329" s="1004"/>
    </row>
    <row r="330" spans="3:56" s="682" customFormat="1" x14ac:dyDescent="0.2">
      <c r="C330" s="942"/>
      <c r="D330" s="942"/>
      <c r="E330" s="683"/>
      <c r="F330" s="683"/>
      <c r="G330" s="792"/>
      <c r="H330" s="792"/>
      <c r="I330" s="792"/>
      <c r="J330" s="792"/>
      <c r="K330" s="792"/>
      <c r="L330" s="792"/>
      <c r="M330" s="792"/>
      <c r="N330" s="792"/>
      <c r="X330" s="792"/>
      <c r="Y330" s="792"/>
      <c r="Z330" s="792"/>
      <c r="AH330" s="1004"/>
      <c r="AI330" s="1004"/>
      <c r="AJ330" s="1004"/>
      <c r="AK330" s="1004"/>
      <c r="AL330" s="1004"/>
      <c r="AM330" s="1004"/>
      <c r="AN330" s="1004"/>
      <c r="AO330" s="1004"/>
      <c r="AP330" s="1004"/>
      <c r="AQ330" s="1004"/>
      <c r="AR330" s="1004"/>
      <c r="AS330" s="1004"/>
      <c r="AT330" s="1004"/>
      <c r="AU330" s="1004"/>
      <c r="AV330" s="1004"/>
      <c r="AW330" s="1004"/>
      <c r="AX330" s="1004"/>
      <c r="AY330" s="1004"/>
      <c r="AZ330" s="1004"/>
      <c r="BA330" s="1004"/>
      <c r="BB330" s="1004"/>
      <c r="BC330" s="1004"/>
      <c r="BD330" s="1004"/>
    </row>
    <row r="331" spans="3:56" s="682" customFormat="1" x14ac:dyDescent="0.2">
      <c r="C331" s="942"/>
      <c r="D331" s="942"/>
      <c r="E331" s="683"/>
      <c r="F331" s="683"/>
      <c r="G331" s="792"/>
      <c r="H331" s="792"/>
      <c r="I331" s="792"/>
      <c r="J331" s="792"/>
      <c r="K331" s="792"/>
      <c r="L331" s="792"/>
      <c r="M331" s="792"/>
      <c r="N331" s="792"/>
      <c r="X331" s="792"/>
      <c r="Y331" s="792"/>
      <c r="Z331" s="792"/>
      <c r="AH331" s="1004"/>
      <c r="AI331" s="1004"/>
      <c r="AJ331" s="1004"/>
      <c r="AK331" s="1004"/>
      <c r="AL331" s="1004"/>
      <c r="AM331" s="1004"/>
      <c r="AN331" s="1004"/>
      <c r="AO331" s="1004"/>
      <c r="AP331" s="1004"/>
      <c r="AQ331" s="1004"/>
      <c r="AR331" s="1004"/>
      <c r="AS331" s="1004"/>
      <c r="AT331" s="1004"/>
      <c r="AU331" s="1004"/>
      <c r="AV331" s="1004"/>
      <c r="AW331" s="1004"/>
      <c r="AX331" s="1004"/>
      <c r="AY331" s="1004"/>
      <c r="AZ331" s="1004"/>
      <c r="BA331" s="1004"/>
      <c r="BB331" s="1004"/>
      <c r="BC331" s="1004"/>
      <c r="BD331" s="1004"/>
    </row>
    <row r="332" spans="3:56" s="682" customFormat="1" x14ac:dyDescent="0.2">
      <c r="C332" s="942"/>
      <c r="D332" s="942"/>
      <c r="E332" s="683"/>
      <c r="F332" s="683"/>
      <c r="G332" s="792"/>
      <c r="H332" s="792"/>
      <c r="I332" s="792"/>
      <c r="J332" s="792"/>
      <c r="K332" s="792"/>
      <c r="L332" s="792"/>
      <c r="M332" s="792"/>
      <c r="N332" s="792"/>
      <c r="X332" s="792"/>
      <c r="Y332" s="792"/>
      <c r="Z332" s="792"/>
      <c r="AG332" s="1261"/>
      <c r="AH332" s="1004"/>
      <c r="AI332" s="1004"/>
      <c r="AJ332" s="1004"/>
      <c r="AK332" s="1004"/>
      <c r="AL332" s="1004"/>
      <c r="AM332" s="1004"/>
      <c r="AN332" s="1004"/>
      <c r="AO332" s="1004"/>
      <c r="AP332" s="1004"/>
      <c r="AQ332" s="1004"/>
      <c r="AR332" s="1004"/>
      <c r="AS332" s="1004"/>
      <c r="AT332" s="1004"/>
      <c r="AU332" s="1004"/>
      <c r="AV332" s="1004"/>
      <c r="AW332" s="1004"/>
      <c r="AX332" s="1004"/>
      <c r="AY332" s="1004"/>
      <c r="AZ332" s="1004"/>
      <c r="BA332" s="1004"/>
      <c r="BB332" s="1004"/>
      <c r="BC332" s="1004"/>
      <c r="BD332" s="1004"/>
    </row>
    <row r="333" spans="3:56" s="682" customFormat="1" x14ac:dyDescent="0.2">
      <c r="C333" s="942"/>
      <c r="D333" s="942"/>
      <c r="E333" s="683"/>
      <c r="F333" s="683"/>
      <c r="G333" s="792"/>
      <c r="H333" s="792"/>
      <c r="I333" s="792"/>
      <c r="J333" s="792"/>
      <c r="K333" s="792"/>
      <c r="L333" s="792"/>
      <c r="M333" s="792"/>
      <c r="N333" s="792"/>
      <c r="X333" s="792"/>
      <c r="Y333" s="792"/>
      <c r="Z333" s="792"/>
      <c r="AH333" s="1004"/>
      <c r="AI333" s="1004"/>
      <c r="AJ333" s="1004"/>
      <c r="AK333" s="1004"/>
      <c r="AL333" s="1004"/>
      <c r="AM333" s="1004"/>
      <c r="AN333" s="1004"/>
      <c r="AO333" s="1004"/>
      <c r="AP333" s="1004"/>
      <c r="AQ333" s="1004"/>
      <c r="AR333" s="1004"/>
      <c r="AS333" s="1004"/>
      <c r="AT333" s="1004"/>
      <c r="AU333" s="1004"/>
      <c r="AV333" s="1004"/>
      <c r="AW333" s="1004"/>
      <c r="AX333" s="1004"/>
      <c r="AY333" s="1004"/>
      <c r="AZ333" s="1004"/>
      <c r="BA333" s="1004"/>
      <c r="BB333" s="1004"/>
      <c r="BC333" s="1004"/>
      <c r="BD333" s="1004"/>
    </row>
    <row r="334" spans="3:56" s="682" customFormat="1" x14ac:dyDescent="0.2">
      <c r="C334" s="942"/>
      <c r="D334" s="942"/>
      <c r="E334" s="683"/>
      <c r="F334" s="683"/>
      <c r="G334" s="792"/>
      <c r="H334" s="792"/>
      <c r="I334" s="792"/>
      <c r="J334" s="792"/>
      <c r="K334" s="792"/>
      <c r="L334" s="792"/>
      <c r="M334" s="792"/>
      <c r="N334" s="792"/>
      <c r="X334" s="792"/>
      <c r="Y334" s="792"/>
      <c r="Z334" s="792"/>
      <c r="AH334" s="1004"/>
      <c r="AI334" s="1004"/>
      <c r="AJ334" s="1004"/>
      <c r="AK334" s="1004"/>
      <c r="AL334" s="1004"/>
      <c r="AM334" s="1004"/>
      <c r="AN334" s="1004"/>
      <c r="AO334" s="1004"/>
      <c r="AP334" s="1004"/>
      <c r="AQ334" s="1004"/>
      <c r="AR334" s="1004"/>
      <c r="AS334" s="1004"/>
      <c r="AT334" s="1004"/>
      <c r="AU334" s="1004"/>
      <c r="AV334" s="1004"/>
      <c r="AW334" s="1004"/>
      <c r="AX334" s="1004"/>
      <c r="AY334" s="1004"/>
      <c r="AZ334" s="1004"/>
      <c r="BA334" s="1004"/>
      <c r="BB334" s="1004"/>
      <c r="BC334" s="1004"/>
      <c r="BD334" s="1004"/>
    </row>
    <row r="335" spans="3:56" s="682" customFormat="1" x14ac:dyDescent="0.2">
      <c r="C335" s="942"/>
      <c r="D335" s="942"/>
      <c r="E335" s="683"/>
      <c r="F335" s="683"/>
      <c r="G335" s="792"/>
      <c r="H335" s="792"/>
      <c r="I335" s="792"/>
      <c r="J335" s="792"/>
      <c r="K335" s="792"/>
      <c r="L335" s="792"/>
      <c r="M335" s="792"/>
      <c r="N335" s="792"/>
      <c r="X335" s="792"/>
      <c r="Y335" s="792"/>
      <c r="Z335" s="792"/>
      <c r="AH335" s="1004"/>
      <c r="AI335" s="1004"/>
      <c r="AJ335" s="1004"/>
      <c r="AK335" s="1004"/>
      <c r="AL335" s="1004"/>
      <c r="AM335" s="1004"/>
      <c r="AN335" s="1004"/>
      <c r="AO335" s="1004"/>
      <c r="AP335" s="1004"/>
      <c r="AQ335" s="1004"/>
      <c r="AR335" s="1004"/>
      <c r="AS335" s="1004"/>
      <c r="AT335" s="1004"/>
      <c r="AU335" s="1004"/>
      <c r="AV335" s="1004"/>
      <c r="AW335" s="1004"/>
      <c r="AX335" s="1004"/>
      <c r="AY335" s="1004"/>
      <c r="AZ335" s="1004"/>
      <c r="BA335" s="1004"/>
      <c r="BB335" s="1004"/>
      <c r="BC335" s="1004"/>
      <c r="BD335" s="1004"/>
    </row>
    <row r="337" spans="33:33" x14ac:dyDescent="0.2">
      <c r="AG337" s="113"/>
    </row>
    <row r="342" spans="33:33" x14ac:dyDescent="0.2">
      <c r="AG342" s="113"/>
    </row>
    <row r="347" spans="33:33" x14ac:dyDescent="0.2">
      <c r="AG347" s="113"/>
    </row>
    <row r="352" spans="33:33" x14ac:dyDescent="0.2">
      <c r="AG352" s="113"/>
    </row>
  </sheetData>
  <sheetProtection algorithmName="SHA-512" hashValue="PXPFAa/RL/k+XCSsQ2CHOnJ2tDTSOToP8QkIYuo+5GHZ0pOFzWAzWcD6nKoIUiXiyK5zgBdMhjmCFw1enLxr3Q==" saltValue="b9nEWg9O0iKsNR5s0H8/sQ==" spinCount="100000" sheet="1" objects="1" scenarios="1"/>
  <phoneticPr fontId="47" type="noConversion"/>
  <pageMargins left="0.74803149606299213" right="0.74803149606299213" top="0.98425196850393704" bottom="0.98425196850393704" header="0.51181102362204722" footer="0.51181102362204722"/>
  <pageSetup paperSize="9" scale="55" orientation="landscape" r:id="rId1"/>
  <headerFooter alignWithMargins="0">
    <oddHeader>&amp;L&amp;F&amp;R&amp;A</oddHeader>
    <oddFooter>&amp;Lkeizer&amp;Cpagina &amp;P&amp;R&amp;D</oddFooter>
  </headerFooter>
  <colBreaks count="1" manualBreakCount="1">
    <brk id="22" min="45" max="109"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H562"/>
  <sheetViews>
    <sheetView showGridLines="0" zoomScale="80" zoomScaleNormal="80" zoomScaleSheetLayoutView="85" workbookViewId="0">
      <selection activeCell="B2" sqref="B2"/>
    </sheetView>
  </sheetViews>
  <sheetFormatPr defaultRowHeight="12.75" x14ac:dyDescent="0.2"/>
  <cols>
    <col min="1" max="1" width="3.7109375" style="164" customWidth="1"/>
    <col min="2" max="3" width="2.7109375" style="164" customWidth="1"/>
    <col min="4" max="4" width="51.5703125" style="164" customWidth="1"/>
    <col min="5" max="5" width="0.85546875" style="164" customWidth="1"/>
    <col min="6" max="6" width="10.28515625" style="170" customWidth="1"/>
    <col min="7" max="7" width="1.28515625" style="170" customWidth="1"/>
    <col min="8" max="8" width="3.28515625" style="170" hidden="1" customWidth="1"/>
    <col min="9" max="13" width="14.85546875" style="170" customWidth="1"/>
    <col min="14" max="14" width="14.85546875" style="170" hidden="1" customWidth="1"/>
    <col min="15" max="17" width="2.7109375" style="164" customWidth="1"/>
    <col min="18" max="22" width="14.85546875" style="164" customWidth="1"/>
    <col min="23" max="16384" width="9.140625" style="164"/>
  </cols>
  <sheetData>
    <row r="2" spans="2:16" x14ac:dyDescent="0.2">
      <c r="B2" s="18"/>
      <c r="C2" s="19"/>
      <c r="D2" s="19"/>
      <c r="E2" s="19"/>
      <c r="F2" s="171"/>
      <c r="G2" s="171"/>
      <c r="H2" s="171"/>
      <c r="I2" s="171"/>
      <c r="J2" s="171"/>
      <c r="K2" s="171"/>
      <c r="L2" s="171"/>
      <c r="M2" s="171"/>
      <c r="N2" s="171"/>
      <c r="O2" s="19"/>
      <c r="P2" s="20"/>
    </row>
    <row r="3" spans="2:16" x14ac:dyDescent="0.2">
      <c r="B3" s="21"/>
      <c r="C3" s="22"/>
      <c r="D3" s="23"/>
      <c r="E3" s="22"/>
      <c r="F3" s="24"/>
      <c r="G3" s="24"/>
      <c r="H3" s="24"/>
      <c r="I3" s="24"/>
      <c r="J3" s="24"/>
      <c r="K3" s="24"/>
      <c r="L3" s="24"/>
      <c r="M3" s="24"/>
      <c r="N3" s="24"/>
      <c r="O3" s="22"/>
      <c r="P3" s="25"/>
    </row>
    <row r="4" spans="2:16" s="167" customFormat="1" ht="18.75" x14ac:dyDescent="0.3">
      <c r="B4" s="172"/>
      <c r="C4" s="580" t="s">
        <v>23</v>
      </c>
      <c r="D4" s="174"/>
      <c r="E4" s="174"/>
      <c r="F4" s="175"/>
      <c r="G4" s="175"/>
      <c r="H4" s="175"/>
      <c r="I4" s="175"/>
      <c r="J4" s="175"/>
      <c r="K4" s="175"/>
      <c r="L4" s="175"/>
      <c r="M4" s="175"/>
      <c r="N4" s="175"/>
      <c r="O4" s="174"/>
      <c r="P4" s="176"/>
    </row>
    <row r="5" spans="2:16" s="168" customFormat="1" ht="18.75" x14ac:dyDescent="0.3">
      <c r="B5" s="26"/>
      <c r="C5" s="1358" t="str">
        <f>'geg ll'!C5</f>
        <v>Voorbeeld SWV VO Alkmaar</v>
      </c>
      <c r="D5" s="27"/>
      <c r="E5" s="27"/>
      <c r="F5" s="177"/>
      <c r="G5" s="177"/>
      <c r="H5" s="177"/>
      <c r="I5" s="177"/>
      <c r="J5" s="177"/>
      <c r="K5" s="177"/>
      <c r="L5" s="177"/>
      <c r="M5" s="177"/>
      <c r="N5" s="177"/>
      <c r="O5" s="27"/>
      <c r="P5" s="28"/>
    </row>
    <row r="6" spans="2:16" x14ac:dyDescent="0.2">
      <c r="B6" s="21"/>
      <c r="C6" s="22"/>
      <c r="D6" s="23"/>
      <c r="E6" s="22"/>
      <c r="F6" s="24"/>
      <c r="G6" s="24"/>
      <c r="H6" s="24"/>
      <c r="I6" s="24"/>
      <c r="J6" s="24"/>
      <c r="K6" s="24"/>
      <c r="L6" s="24"/>
      <c r="M6" s="24"/>
      <c r="N6" s="24"/>
      <c r="O6" s="22"/>
      <c r="P6" s="25"/>
    </row>
    <row r="7" spans="2:16" x14ac:dyDescent="0.2">
      <c r="B7" s="21"/>
      <c r="C7" s="22"/>
      <c r="D7" s="23"/>
      <c r="E7" s="22"/>
      <c r="F7" s="24"/>
      <c r="G7" s="24"/>
      <c r="H7" s="24"/>
      <c r="I7" s="24"/>
      <c r="J7" s="24"/>
      <c r="K7" s="24"/>
      <c r="L7" s="24"/>
      <c r="M7" s="24"/>
      <c r="N7" s="24"/>
      <c r="O7" s="22"/>
      <c r="P7" s="25"/>
    </row>
    <row r="8" spans="2:16" s="209" customFormat="1" x14ac:dyDescent="0.2">
      <c r="B8" s="211"/>
      <c r="C8" s="212"/>
      <c r="D8" s="589" t="s">
        <v>137</v>
      </c>
      <c r="E8" s="570"/>
      <c r="F8" s="588"/>
      <c r="G8" s="588"/>
      <c r="H8" s="590">
        <f>tab!F4</f>
        <v>2019</v>
      </c>
      <c r="I8" s="590">
        <f>tab!G4</f>
        <v>2020</v>
      </c>
      <c r="J8" s="590">
        <f>tab!H4</f>
        <v>2021</v>
      </c>
      <c r="K8" s="590">
        <f>tab!I4</f>
        <v>2022</v>
      </c>
      <c r="L8" s="590">
        <f>tab!J4</f>
        <v>2023</v>
      </c>
      <c r="M8" s="590">
        <f>tab!K4</f>
        <v>2024</v>
      </c>
      <c r="N8" s="590">
        <f>tab!L4</f>
        <v>2025</v>
      </c>
      <c r="O8" s="212"/>
      <c r="P8" s="213"/>
    </row>
    <row r="9" spans="2:16" x14ac:dyDescent="0.2">
      <c r="B9" s="21"/>
      <c r="C9" s="22"/>
      <c r="D9" s="23"/>
      <c r="E9" s="22"/>
      <c r="F9" s="24"/>
      <c r="G9" s="24"/>
      <c r="H9" s="22"/>
      <c r="I9" s="22"/>
      <c r="J9" s="22"/>
      <c r="K9" s="22"/>
      <c r="L9" s="22"/>
      <c r="M9" s="22"/>
      <c r="N9" s="22"/>
      <c r="O9" s="22"/>
      <c r="P9" s="25"/>
    </row>
    <row r="10" spans="2:16" x14ac:dyDescent="0.2">
      <c r="B10" s="21"/>
      <c r="C10" s="34"/>
      <c r="D10" s="36"/>
      <c r="E10" s="34"/>
      <c r="F10" s="182"/>
      <c r="G10" s="182"/>
      <c r="H10" s="182"/>
      <c r="I10" s="182"/>
      <c r="J10" s="182"/>
      <c r="K10" s="182"/>
      <c r="L10" s="182"/>
      <c r="M10" s="182"/>
      <c r="N10" s="182"/>
      <c r="O10" s="34"/>
      <c r="P10" s="25"/>
    </row>
    <row r="11" spans="2:16" x14ac:dyDescent="0.2">
      <c r="B11" s="21"/>
      <c r="C11" s="34"/>
      <c r="D11" s="567" t="s">
        <v>19</v>
      </c>
      <c r="E11" s="34"/>
      <c r="F11" s="182"/>
      <c r="G11" s="182"/>
      <c r="H11" s="182"/>
      <c r="I11" s="182"/>
      <c r="J11" s="182"/>
      <c r="K11" s="182"/>
      <c r="L11" s="182"/>
      <c r="M11" s="182"/>
      <c r="N11" s="182"/>
      <c r="O11" s="34"/>
      <c r="P11" s="25"/>
    </row>
    <row r="12" spans="2:16" x14ac:dyDescent="0.2">
      <c r="B12" s="21"/>
      <c r="C12" s="34"/>
      <c r="D12" s="36"/>
      <c r="E12" s="34"/>
      <c r="F12" s="182"/>
      <c r="G12" s="182"/>
      <c r="H12" s="182"/>
      <c r="I12" s="182"/>
      <c r="J12" s="182"/>
      <c r="K12" s="182"/>
      <c r="L12" s="182"/>
      <c r="M12" s="182"/>
      <c r="N12" s="182"/>
      <c r="O12" s="34"/>
      <c r="P12" s="25"/>
    </row>
    <row r="13" spans="2:16" ht="15.75" x14ac:dyDescent="0.25">
      <c r="B13" s="21"/>
      <c r="C13" s="34"/>
      <c r="D13" s="1065" t="s">
        <v>41</v>
      </c>
      <c r="E13" s="34"/>
      <c r="F13" s="182"/>
      <c r="G13" s="182"/>
      <c r="H13" s="182"/>
      <c r="I13" s="182"/>
      <c r="J13" s="182"/>
      <c r="K13" s="182"/>
      <c r="L13" s="182"/>
      <c r="M13" s="182"/>
      <c r="N13" s="182"/>
      <c r="O13" s="34"/>
      <c r="P13" s="25"/>
    </row>
    <row r="14" spans="2:16" x14ac:dyDescent="0.2">
      <c r="B14" s="21"/>
      <c r="C14" s="34"/>
      <c r="D14" s="37" t="s">
        <v>220</v>
      </c>
      <c r="E14" s="34"/>
      <c r="F14" s="182"/>
      <c r="G14" s="182"/>
      <c r="H14" s="182"/>
      <c r="I14" s="182"/>
      <c r="J14" s="182"/>
      <c r="K14" s="182"/>
      <c r="L14" s="182"/>
      <c r="M14" s="182"/>
      <c r="N14" s="182"/>
      <c r="O14" s="34"/>
      <c r="P14" s="25"/>
    </row>
    <row r="15" spans="2:16" x14ac:dyDescent="0.2">
      <c r="B15" s="840"/>
      <c r="C15" s="34"/>
      <c r="D15" s="195" t="s">
        <v>704</v>
      </c>
      <c r="E15" s="34"/>
      <c r="F15" s="182"/>
      <c r="G15" s="182"/>
      <c r="H15" s="1559"/>
      <c r="I15" s="825">
        <f>+('geg ll'!H23+'geg ll'!H27-0.5*'geg ll'!H26)*tab!F7</f>
        <v>1307308.8</v>
      </c>
      <c r="J15" s="825">
        <f>+('geg ll'!I23+'geg ll'!I27-0.5*'geg ll'!I26)*tab!G7</f>
        <v>1319345.25</v>
      </c>
      <c r="K15" s="825">
        <f>+('geg ll'!J23+'geg ll'!J27-0.5*'geg ll'!J26)*tab!H7</f>
        <v>1319345.25</v>
      </c>
      <c r="L15" s="825">
        <f>+('geg ll'!K23+'geg ll'!K27-0.5*'geg ll'!K26)*tab!I7</f>
        <v>1319345.25</v>
      </c>
      <c r="M15" s="825">
        <f>+('geg ll'!L23+'geg ll'!L27-0.5*'geg ll'!L26)*tab!J7</f>
        <v>1319345.25</v>
      </c>
      <c r="N15" s="825">
        <f>+('geg ll'!M23+'geg ll'!M27-0.5*'geg ll'!M26)*tab!K7</f>
        <v>1319345.25</v>
      </c>
      <c r="O15" s="34"/>
      <c r="P15" s="25"/>
    </row>
    <row r="16" spans="2:16" x14ac:dyDescent="0.2">
      <c r="B16" s="840"/>
      <c r="C16" s="34"/>
      <c r="D16" s="36"/>
      <c r="E16" s="34"/>
      <c r="F16" s="182"/>
      <c r="G16" s="165"/>
      <c r="H16" s="1004"/>
      <c r="I16" s="1004"/>
      <c r="J16" s="1004"/>
      <c r="K16" s="1004"/>
      <c r="L16" s="1004"/>
      <c r="M16" s="1004"/>
      <c r="N16" s="1004"/>
      <c r="O16" s="34"/>
      <c r="P16" s="819"/>
    </row>
    <row r="17" spans="2:16" x14ac:dyDescent="0.2">
      <c r="B17" s="840"/>
      <c r="C17" s="34"/>
      <c r="D17" s="195" t="s">
        <v>720</v>
      </c>
      <c r="E17" s="34"/>
      <c r="F17" s="182"/>
      <c r="G17" s="182"/>
      <c r="H17" s="1560"/>
      <c r="I17" s="1005">
        <f>IF('geg ll'!H35=0,0,+(('geg ll'!H23+'geg ll'!H27-0.5*'geg ll'!H26)/'geg ll'!$E33*'geg ll'!$E31-'geg ll'!H21)*tab!F$10)</f>
        <v>8182456.1104895156</v>
      </c>
      <c r="J17" s="1005">
        <f>IF('geg ll'!I35=0,0,+(('geg ll'!I23+'geg ll'!I27-0.5*'geg ll'!I26)/'geg ll'!$E33*'geg ll'!$E31-'geg ll'!I21)*tab!F$10)</f>
        <v>8160239.2393570794</v>
      </c>
      <c r="K17" s="1005">
        <f>IF('geg ll'!J35=0,0,+(('geg ll'!J23+'geg ll'!J27-0.5*'geg ll'!J26)/'geg ll'!$E33*'geg ll'!$E31-'geg ll'!J21)*tab!G$10)</f>
        <v>8390366.2771718726</v>
      </c>
      <c r="L17" s="1005">
        <f>IF('geg ll'!K35=0,0,+(('geg ll'!K23+'geg ll'!K27-0.5*'geg ll'!K26)/'geg ll'!$E33*'geg ll'!$E31-'geg ll'!K21)*tab!H$10)</f>
        <v>8390366.2771718726</v>
      </c>
      <c r="M17" s="1005">
        <f>IF('geg ll'!L35=0,0,+(('geg ll'!L23+'geg ll'!L27-0.5*'geg ll'!L26)/'geg ll'!$E33*'geg ll'!$E31-'geg ll'!L21)*tab!I$10)</f>
        <v>8390366.2771718726</v>
      </c>
      <c r="N17" s="1005">
        <f>IF('geg ll'!M35=0,0,+(('geg ll'!M23+'geg ll'!M27-0.5*'geg ll'!M26)/'geg ll'!$E33*'geg ll'!$E31-'geg ll'!M21)*tab!J$10)</f>
        <v>8390366.2771718726</v>
      </c>
      <c r="O17" s="34"/>
      <c r="P17" s="819"/>
    </row>
    <row r="18" spans="2:16" x14ac:dyDescent="0.2">
      <c r="B18" s="840"/>
      <c r="C18" s="34"/>
      <c r="D18" s="195" t="s">
        <v>721</v>
      </c>
      <c r="E18" s="34"/>
      <c r="F18" s="182"/>
      <c r="G18" s="182"/>
      <c r="H18" s="1560"/>
      <c r="I18" s="1005">
        <f>IF('geg ll'!H35=0,0,+(('geg ll'!H23+'geg ll'!H27-0.5*'geg ll'!H26)/'geg ll'!$E33*'geg ll'!$E32-'geg ll'!H22)*tab!F$10)</f>
        <v>-132685.06352733969</v>
      </c>
      <c r="J18" s="1005">
        <f>IF('geg ll'!I35=0,0,+(('geg ll'!I23+'geg ll'!I27-0.5*'geg ll'!I26)/'geg ll'!$E33*'geg ll'!$E32-'geg ll'!I22)*tab!G$10)</f>
        <v>-339818.20362247742</v>
      </c>
      <c r="K18" s="1005">
        <f>IF('geg ll'!J35=0,0,+(('geg ll'!J23+'geg ll'!J27-0.5*'geg ll'!J26)/'geg ll'!$E33*'geg ll'!$E32-'geg ll'!J22)*tab!H$10)</f>
        <v>-339818.20362247742</v>
      </c>
      <c r="L18" s="1005">
        <f>IF('geg ll'!K35=0,0,+(('geg ll'!K23+'geg ll'!K27-0.5*'geg ll'!K26)/'geg ll'!$E33*'geg ll'!$E32-'geg ll'!K22)*tab!I$10)</f>
        <v>-339818.20362247742</v>
      </c>
      <c r="M18" s="1005">
        <f>IF('geg ll'!L35=0,0,+(('geg ll'!L23+'geg ll'!L27-0.5*'geg ll'!L26)/'geg ll'!$E33*'geg ll'!$E32-'geg ll'!L22)*tab!J$10)</f>
        <v>-339818.20362247742</v>
      </c>
      <c r="N18" s="1005">
        <f>IF('geg ll'!M35=0,0,+(('geg ll'!M23+'geg ll'!M27-0.5*'geg ll'!M26)/'geg ll'!$E33*'geg ll'!$E32-'geg ll'!M22)*tab!K$10)</f>
        <v>-339818.20362247742</v>
      </c>
      <c r="O18" s="34"/>
      <c r="P18" s="819"/>
    </row>
    <row r="19" spans="2:16" x14ac:dyDescent="0.2">
      <c r="B19" s="840"/>
      <c r="C19" s="34"/>
      <c r="D19" s="195" t="s">
        <v>733</v>
      </c>
      <c r="E19" s="34"/>
      <c r="F19" s="182"/>
      <c r="G19" s="165"/>
      <c r="H19" s="1561"/>
      <c r="I19" s="1041">
        <f>-'LWOO-PRO'!P21</f>
        <v>0</v>
      </c>
      <c r="J19" s="1041">
        <f>-'LWOO-PRO'!Q21</f>
        <v>0</v>
      </c>
      <c r="K19" s="1041">
        <f>-'LWOO-PRO'!R21</f>
        <v>0</v>
      </c>
      <c r="L19" s="1041">
        <f>-'LWOO-PRO'!S21</f>
        <v>0</v>
      </c>
      <c r="M19" s="1041">
        <f>-'LWOO-PRO'!T21</f>
        <v>0</v>
      </c>
      <c r="N19" s="1041">
        <f>-'LWOO-PRO'!U21</f>
        <v>0</v>
      </c>
      <c r="O19" s="34"/>
      <c r="P19" s="819"/>
    </row>
    <row r="20" spans="2:16" x14ac:dyDescent="0.2">
      <c r="B20" s="840"/>
      <c r="C20" s="34"/>
      <c r="D20" s="195"/>
      <c r="E20" s="34"/>
      <c r="F20" s="182"/>
      <c r="G20" s="165"/>
      <c r="H20" s="1004"/>
      <c r="I20" s="1004"/>
      <c r="J20" s="1004"/>
      <c r="K20" s="1004"/>
      <c r="L20" s="1004"/>
      <c r="M20" s="1004"/>
      <c r="N20" s="1004"/>
      <c r="O20" s="34"/>
      <c r="P20" s="819"/>
    </row>
    <row r="21" spans="2:16" x14ac:dyDescent="0.2">
      <c r="B21" s="840"/>
      <c r="C21" s="34"/>
      <c r="D21" s="195" t="s">
        <v>706</v>
      </c>
      <c r="E21" s="34"/>
      <c r="F21" s="182"/>
      <c r="G21" s="165"/>
      <c r="H21" s="1004"/>
      <c r="I21" s="1004"/>
      <c r="J21" s="1004"/>
      <c r="K21" s="1004"/>
      <c r="L21" s="1004"/>
      <c r="M21" s="1004"/>
      <c r="N21" s="1004"/>
      <c r="O21" s="34"/>
      <c r="P21" s="25"/>
    </row>
    <row r="22" spans="2:16" x14ac:dyDescent="0.2">
      <c r="B22" s="840"/>
      <c r="C22" s="34"/>
      <c r="D22" s="195" t="s">
        <v>707</v>
      </c>
      <c r="E22" s="34"/>
      <c r="F22" s="182"/>
      <c r="G22" s="182"/>
      <c r="H22" s="1562"/>
      <c r="I22" s="1046">
        <f t="shared" ref="I22:M22" si="0">+I15+I17+I18+I19</f>
        <v>9357079.8469621763</v>
      </c>
      <c r="J22" s="1046">
        <f t="shared" si="0"/>
        <v>9139766.2857346032</v>
      </c>
      <c r="K22" s="1046">
        <f t="shared" si="0"/>
        <v>9369893.3235493954</v>
      </c>
      <c r="L22" s="1046">
        <f t="shared" si="0"/>
        <v>9369893.3235493954</v>
      </c>
      <c r="M22" s="1046">
        <f t="shared" si="0"/>
        <v>9369893.3235493954</v>
      </c>
      <c r="N22" s="1046">
        <f>+N15+N17+N18+N19</f>
        <v>9369893.3235493954</v>
      </c>
      <c r="O22" s="34"/>
      <c r="P22" s="25"/>
    </row>
    <row r="23" spans="2:16" x14ac:dyDescent="0.2">
      <c r="B23" s="840"/>
      <c r="C23" s="34"/>
      <c r="D23" s="36"/>
      <c r="E23" s="34"/>
      <c r="F23" s="182"/>
      <c r="G23" s="165"/>
      <c r="H23" s="1004"/>
      <c r="I23" s="1004"/>
      <c r="J23" s="1004"/>
      <c r="K23" s="1004"/>
      <c r="L23" s="1004"/>
      <c r="M23" s="1004"/>
      <c r="N23" s="1004"/>
      <c r="O23" s="34"/>
      <c r="P23" s="25"/>
    </row>
    <row r="24" spans="2:16" x14ac:dyDescent="0.2">
      <c r="B24" s="21"/>
      <c r="C24" s="34"/>
      <c r="D24" s="37" t="s">
        <v>710</v>
      </c>
      <c r="E24" s="34"/>
      <c r="F24" s="182"/>
      <c r="G24" s="182"/>
      <c r="H24" s="1563"/>
      <c r="I24" s="855">
        <f t="shared" ref="I24:M24" si="1">+I8</f>
        <v>2020</v>
      </c>
      <c r="J24" s="855">
        <f t="shared" si="1"/>
        <v>2021</v>
      </c>
      <c r="K24" s="855">
        <f t="shared" si="1"/>
        <v>2022</v>
      </c>
      <c r="L24" s="855">
        <f t="shared" si="1"/>
        <v>2023</v>
      </c>
      <c r="M24" s="855">
        <f t="shared" si="1"/>
        <v>2024</v>
      </c>
      <c r="N24" s="855">
        <f>+N8</f>
        <v>2025</v>
      </c>
      <c r="O24" s="34"/>
      <c r="P24" s="25"/>
    </row>
    <row r="25" spans="2:16" x14ac:dyDescent="0.2">
      <c r="B25" s="840"/>
      <c r="C25" s="34"/>
      <c r="D25" s="37"/>
      <c r="E25" s="34"/>
      <c r="F25" s="182"/>
      <c r="G25" s="182"/>
      <c r="H25" s="842"/>
      <c r="I25" s="182"/>
      <c r="J25" s="182"/>
      <c r="K25" s="182"/>
      <c r="L25" s="182"/>
      <c r="M25" s="182"/>
      <c r="N25" s="182"/>
      <c r="O25" s="34"/>
      <c r="P25" s="25"/>
    </row>
    <row r="26" spans="2:16" x14ac:dyDescent="0.2">
      <c r="B26" s="21"/>
      <c r="C26" s="34"/>
      <c r="D26" s="508"/>
      <c r="E26" s="34"/>
      <c r="F26" s="182"/>
      <c r="G26" s="182"/>
      <c r="H26" s="1564"/>
      <c r="I26" s="511">
        <f t="shared" ref="I26:J29" si="2">H26</f>
        <v>0</v>
      </c>
      <c r="J26" s="511">
        <f t="shared" si="2"/>
        <v>0</v>
      </c>
      <c r="K26" s="511">
        <f t="shared" ref="K26:N29" si="3">J26</f>
        <v>0</v>
      </c>
      <c r="L26" s="511">
        <f t="shared" si="3"/>
        <v>0</v>
      </c>
      <c r="M26" s="511">
        <f t="shared" si="3"/>
        <v>0</v>
      </c>
      <c r="N26" s="511">
        <f t="shared" si="3"/>
        <v>0</v>
      </c>
      <c r="O26" s="34"/>
      <c r="P26" s="25"/>
    </row>
    <row r="27" spans="2:16" x14ac:dyDescent="0.2">
      <c r="B27" s="21"/>
      <c r="C27" s="34"/>
      <c r="D27" s="508"/>
      <c r="E27" s="34"/>
      <c r="F27" s="182"/>
      <c r="G27" s="182"/>
      <c r="H27" s="1564"/>
      <c r="I27" s="511">
        <f t="shared" si="2"/>
        <v>0</v>
      </c>
      <c r="J27" s="511">
        <f t="shared" si="2"/>
        <v>0</v>
      </c>
      <c r="K27" s="511">
        <f t="shared" si="3"/>
        <v>0</v>
      </c>
      <c r="L27" s="511">
        <f t="shared" si="3"/>
        <v>0</v>
      </c>
      <c r="M27" s="511">
        <f t="shared" si="3"/>
        <v>0</v>
      </c>
      <c r="N27" s="511">
        <f t="shared" si="3"/>
        <v>0</v>
      </c>
      <c r="O27" s="34"/>
      <c r="P27" s="25"/>
    </row>
    <row r="28" spans="2:16" x14ac:dyDescent="0.2">
      <c r="B28" s="21"/>
      <c r="C28" s="34"/>
      <c r="D28" s="508"/>
      <c r="E28" s="34"/>
      <c r="F28" s="182"/>
      <c r="G28" s="182"/>
      <c r="H28" s="1564"/>
      <c r="I28" s="511">
        <f t="shared" si="2"/>
        <v>0</v>
      </c>
      <c r="J28" s="511">
        <f t="shared" si="2"/>
        <v>0</v>
      </c>
      <c r="K28" s="511">
        <f t="shared" si="3"/>
        <v>0</v>
      </c>
      <c r="L28" s="511">
        <f t="shared" si="3"/>
        <v>0</v>
      </c>
      <c r="M28" s="511">
        <f t="shared" si="3"/>
        <v>0</v>
      </c>
      <c r="N28" s="511">
        <f t="shared" si="3"/>
        <v>0</v>
      </c>
      <c r="O28" s="34"/>
      <c r="P28" s="25"/>
    </row>
    <row r="29" spans="2:16" x14ac:dyDescent="0.2">
      <c r="B29" s="21"/>
      <c r="C29" s="34"/>
      <c r="D29" s="508"/>
      <c r="E29" s="34"/>
      <c r="F29" s="182"/>
      <c r="G29" s="182"/>
      <c r="H29" s="1564"/>
      <c r="I29" s="511">
        <f t="shared" si="2"/>
        <v>0</v>
      </c>
      <c r="J29" s="511">
        <f>I29</f>
        <v>0</v>
      </c>
      <c r="K29" s="511">
        <f t="shared" si="3"/>
        <v>0</v>
      </c>
      <c r="L29" s="511">
        <f t="shared" si="3"/>
        <v>0</v>
      </c>
      <c r="M29" s="511">
        <f t="shared" si="3"/>
        <v>0</v>
      </c>
      <c r="N29" s="511">
        <f t="shared" si="3"/>
        <v>0</v>
      </c>
      <c r="O29" s="34"/>
      <c r="P29" s="25"/>
    </row>
    <row r="30" spans="2:16" x14ac:dyDescent="0.2">
      <c r="B30" s="21"/>
      <c r="C30" s="34"/>
      <c r="D30" s="36"/>
      <c r="E30" s="34"/>
      <c r="F30" s="182"/>
      <c r="G30" s="182"/>
      <c r="H30" s="854"/>
      <c r="I30" s="520">
        <f t="shared" ref="I30:M30" si="4">SUM(I26:I29)</f>
        <v>0</v>
      </c>
      <c r="J30" s="520">
        <f t="shared" si="4"/>
        <v>0</v>
      </c>
      <c r="K30" s="520">
        <f t="shared" si="4"/>
        <v>0</v>
      </c>
      <c r="L30" s="520">
        <f t="shared" si="4"/>
        <v>0</v>
      </c>
      <c r="M30" s="520">
        <f t="shared" si="4"/>
        <v>0</v>
      </c>
      <c r="N30" s="520">
        <f>SUM(N26:N29)</f>
        <v>0</v>
      </c>
      <c r="O30" s="34"/>
      <c r="P30" s="25"/>
    </row>
    <row r="31" spans="2:16" x14ac:dyDescent="0.2">
      <c r="B31" s="21"/>
      <c r="C31" s="34"/>
      <c r="D31" s="36"/>
      <c r="E31" s="34"/>
      <c r="F31" s="182"/>
      <c r="G31" s="182"/>
      <c r="H31" s="842"/>
      <c r="I31" s="182"/>
      <c r="J31" s="182"/>
      <c r="K31" s="182"/>
      <c r="L31" s="182"/>
      <c r="M31" s="182"/>
      <c r="N31" s="182"/>
      <c r="O31" s="34"/>
      <c r="P31" s="25"/>
    </row>
    <row r="32" spans="2:16" x14ac:dyDescent="0.2">
      <c r="B32" s="21"/>
      <c r="C32" s="34"/>
      <c r="D32" s="581" t="s">
        <v>537</v>
      </c>
      <c r="E32" s="39"/>
      <c r="F32" s="40"/>
      <c r="G32" s="40"/>
      <c r="H32" s="879"/>
      <c r="I32" s="870">
        <f t="shared" ref="I32:M32" si="5">+I22+I30</f>
        <v>9357079.8469621763</v>
      </c>
      <c r="J32" s="870">
        <f t="shared" si="5"/>
        <v>9139766.2857346032</v>
      </c>
      <c r="K32" s="870">
        <f t="shared" si="5"/>
        <v>9369893.3235493954</v>
      </c>
      <c r="L32" s="870">
        <f t="shared" si="5"/>
        <v>9369893.3235493954</v>
      </c>
      <c r="M32" s="870">
        <f t="shared" si="5"/>
        <v>9369893.3235493954</v>
      </c>
      <c r="N32" s="870">
        <f>+N22+N30</f>
        <v>9369893.3235493954</v>
      </c>
      <c r="O32" s="34"/>
      <c r="P32" s="25"/>
    </row>
    <row r="33" spans="2:17" x14ac:dyDescent="0.2">
      <c r="B33" s="21"/>
      <c r="C33" s="35"/>
      <c r="D33" s="872"/>
      <c r="E33" s="873"/>
      <c r="F33" s="874"/>
      <c r="G33" s="874"/>
      <c r="H33" s="1565"/>
      <c r="I33" s="874"/>
      <c r="J33" s="874"/>
      <c r="K33" s="874"/>
      <c r="L33" s="874"/>
      <c r="M33" s="874"/>
      <c r="N33" s="874"/>
      <c r="O33" s="33"/>
      <c r="P33" s="25"/>
    </row>
    <row r="34" spans="2:17" x14ac:dyDescent="0.2">
      <c r="B34" s="840"/>
      <c r="C34" s="624"/>
      <c r="D34" s="875"/>
      <c r="E34" s="876"/>
      <c r="F34" s="877"/>
      <c r="G34" s="877"/>
      <c r="H34" s="1566"/>
      <c r="I34" s="878"/>
      <c r="J34" s="878"/>
      <c r="K34" s="878"/>
      <c r="L34" s="878"/>
      <c r="M34" s="112"/>
      <c r="N34" s="112"/>
      <c r="O34" s="493"/>
      <c r="P34" s="25"/>
    </row>
    <row r="35" spans="2:17" x14ac:dyDescent="0.2">
      <c r="B35" s="21"/>
      <c r="C35" s="187"/>
      <c r="D35" s="512" t="s">
        <v>533</v>
      </c>
      <c r="E35" s="485"/>
      <c r="F35" s="78"/>
      <c r="G35" s="112"/>
      <c r="H35" s="871"/>
      <c r="I35" s="871"/>
      <c r="J35" s="871"/>
      <c r="K35" s="871"/>
      <c r="L35" s="871"/>
      <c r="M35" s="1345"/>
      <c r="N35" s="1345"/>
      <c r="O35" s="867"/>
      <c r="P35" s="22"/>
      <c r="Q35" s="1345"/>
    </row>
    <row r="36" spans="2:17" x14ac:dyDescent="0.2">
      <c r="B36" s="21"/>
      <c r="C36" s="187"/>
      <c r="D36" s="37" t="s">
        <v>220</v>
      </c>
      <c r="E36" s="187"/>
      <c r="F36" s="91"/>
      <c r="G36" s="1573"/>
      <c r="H36" s="1574"/>
      <c r="I36" s="868">
        <f t="shared" ref="I36:M36" si="6">+I8</f>
        <v>2020</v>
      </c>
      <c r="J36" s="868">
        <f t="shared" si="6"/>
        <v>2021</v>
      </c>
      <c r="K36" s="868">
        <f t="shared" si="6"/>
        <v>2022</v>
      </c>
      <c r="L36" s="869">
        <f t="shared" si="6"/>
        <v>2023</v>
      </c>
      <c r="M36" s="869">
        <f t="shared" si="6"/>
        <v>2024</v>
      </c>
      <c r="N36" s="869">
        <f>+N8</f>
        <v>2025</v>
      </c>
      <c r="O36" s="493"/>
      <c r="P36" s="25"/>
    </row>
    <row r="37" spans="2:17" x14ac:dyDescent="0.2">
      <c r="B37" s="21"/>
      <c r="C37" s="187"/>
      <c r="D37" s="187"/>
      <c r="E37" s="187"/>
      <c r="F37" s="70"/>
      <c r="G37" s="68"/>
      <c r="H37" s="1567"/>
      <c r="I37" s="68"/>
      <c r="J37" s="68"/>
      <c r="K37" s="68"/>
      <c r="L37" s="68"/>
      <c r="M37" s="968"/>
      <c r="N37" s="968"/>
      <c r="O37" s="493"/>
      <c r="P37" s="25"/>
    </row>
    <row r="38" spans="2:17" x14ac:dyDescent="0.2">
      <c r="B38" s="21"/>
      <c r="C38" s="187"/>
      <c r="D38" s="187" t="s">
        <v>705</v>
      </c>
      <c r="E38" s="187"/>
      <c r="F38" s="70"/>
      <c r="G38" s="70"/>
      <c r="H38" s="1568"/>
      <c r="I38" s="1534">
        <f>7/12*(I229+I234)+5/12*J229</f>
        <v>9714217.552083334</v>
      </c>
      <c r="J38" s="1534">
        <f>7/12*J229+5/12*K229</f>
        <v>9515194.4750000015</v>
      </c>
      <c r="K38" s="1534">
        <f>7/12*(K229+K234)+5/12*(L229+L234)</f>
        <v>9757444.5600000024</v>
      </c>
      <c r="L38" s="1534">
        <f>7/12*(L229+L234)+5/12*(M229+M234)</f>
        <v>9757444.5600000024</v>
      </c>
      <c r="M38" s="1534">
        <f>7/12*(M229+M234)+5/12*(N229+N234)</f>
        <v>9757444.5600000024</v>
      </c>
      <c r="N38" s="1534">
        <f>(N229+N234)</f>
        <v>9757444.5600000005</v>
      </c>
      <c r="O38" s="493"/>
      <c r="P38" s="25"/>
    </row>
    <row r="39" spans="2:17" x14ac:dyDescent="0.2">
      <c r="B39" s="840"/>
      <c r="C39" s="187"/>
      <c r="D39" s="187" t="s">
        <v>607</v>
      </c>
      <c r="E39" s="187"/>
      <c r="F39" s="70"/>
      <c r="G39" s="70"/>
      <c r="H39" s="1568"/>
      <c r="I39" s="519">
        <f t="shared" ref="I39:N40" si="7">7/12*H231+5/12*I231</f>
        <v>0</v>
      </c>
      <c r="J39" s="519">
        <f t="shared" si="7"/>
        <v>0</v>
      </c>
      <c r="K39" s="519">
        <f t="shared" si="7"/>
        <v>0</v>
      </c>
      <c r="L39" s="519">
        <f t="shared" si="7"/>
        <v>0</v>
      </c>
      <c r="M39" s="519">
        <f t="shared" si="7"/>
        <v>0</v>
      </c>
      <c r="N39" s="519">
        <f t="shared" si="7"/>
        <v>0</v>
      </c>
      <c r="O39" s="493"/>
      <c r="P39" s="819"/>
    </row>
    <row r="40" spans="2:17" x14ac:dyDescent="0.2">
      <c r="B40" s="840"/>
      <c r="C40" s="187"/>
      <c r="D40" s="187" t="s">
        <v>608</v>
      </c>
      <c r="E40" s="187"/>
      <c r="F40" s="70"/>
      <c r="G40" s="70"/>
      <c r="H40" s="1568"/>
      <c r="I40" s="519">
        <f t="shared" si="7"/>
        <v>0</v>
      </c>
      <c r="J40" s="519">
        <f t="shared" si="7"/>
        <v>0</v>
      </c>
      <c r="K40" s="519">
        <f t="shared" si="7"/>
        <v>0</v>
      </c>
      <c r="L40" s="519">
        <f t="shared" si="7"/>
        <v>0</v>
      </c>
      <c r="M40" s="519">
        <f t="shared" si="7"/>
        <v>0</v>
      </c>
      <c r="N40" s="519">
        <f t="shared" si="7"/>
        <v>0</v>
      </c>
      <c r="O40" s="493"/>
      <c r="P40" s="819"/>
    </row>
    <row r="41" spans="2:17" x14ac:dyDescent="0.2">
      <c r="B41" s="840"/>
      <c r="C41" s="187"/>
      <c r="D41" s="858"/>
      <c r="E41" s="187"/>
      <c r="F41" s="70"/>
      <c r="G41" s="1241"/>
      <c r="H41" s="1045"/>
      <c r="I41" s="1045"/>
      <c r="J41" s="1045"/>
      <c r="K41" s="1045"/>
      <c r="L41" s="1045"/>
      <c r="M41" s="1346"/>
      <c r="N41" s="1346"/>
      <c r="O41" s="187"/>
      <c r="P41" s="25"/>
    </row>
    <row r="42" spans="2:17" x14ac:dyDescent="0.2">
      <c r="B42" s="21"/>
      <c r="C42" s="187"/>
      <c r="D42" s="37" t="s">
        <v>710</v>
      </c>
      <c r="E42" s="187"/>
      <c r="F42" s="70"/>
      <c r="G42" s="70"/>
      <c r="H42" s="622"/>
      <c r="I42" s="70"/>
      <c r="J42" s="70"/>
      <c r="K42" s="70"/>
      <c r="L42" s="70"/>
      <c r="M42" s="70"/>
      <c r="N42" s="70"/>
      <c r="O42" s="187"/>
      <c r="P42" s="25"/>
    </row>
    <row r="43" spans="2:17" x14ac:dyDescent="0.2">
      <c r="B43" s="21"/>
      <c r="C43" s="187"/>
      <c r="D43" s="509"/>
      <c r="E43" s="187"/>
      <c r="F43" s="70"/>
      <c r="G43" s="70"/>
      <c r="H43" s="1569"/>
      <c r="I43" s="66">
        <f t="shared" ref="I43:J46" si="8">H43</f>
        <v>0</v>
      </c>
      <c r="J43" s="66">
        <f t="shared" si="8"/>
        <v>0</v>
      </c>
      <c r="K43" s="66">
        <f t="shared" ref="K43:N46" si="9">J43</f>
        <v>0</v>
      </c>
      <c r="L43" s="66">
        <f t="shared" si="9"/>
        <v>0</v>
      </c>
      <c r="M43" s="66">
        <f t="shared" si="9"/>
        <v>0</v>
      </c>
      <c r="N43" s="66">
        <f t="shared" si="9"/>
        <v>0</v>
      </c>
      <c r="O43" s="187"/>
      <c r="P43" s="25"/>
    </row>
    <row r="44" spans="2:17" x14ac:dyDescent="0.2">
      <c r="B44" s="21"/>
      <c r="C44" s="187"/>
      <c r="D44" s="509"/>
      <c r="E44" s="187"/>
      <c r="F44" s="70"/>
      <c r="G44" s="70"/>
      <c r="H44" s="1569"/>
      <c r="I44" s="66">
        <f t="shared" si="8"/>
        <v>0</v>
      </c>
      <c r="J44" s="66">
        <f t="shared" si="8"/>
        <v>0</v>
      </c>
      <c r="K44" s="66">
        <f t="shared" si="9"/>
        <v>0</v>
      </c>
      <c r="L44" s="66">
        <f t="shared" si="9"/>
        <v>0</v>
      </c>
      <c r="M44" s="66">
        <f t="shared" si="9"/>
        <v>0</v>
      </c>
      <c r="N44" s="66">
        <f t="shared" si="9"/>
        <v>0</v>
      </c>
      <c r="O44" s="187"/>
      <c r="P44" s="25"/>
    </row>
    <row r="45" spans="2:17" x14ac:dyDescent="0.2">
      <c r="B45" s="21"/>
      <c r="C45" s="187"/>
      <c r="D45" s="509"/>
      <c r="E45" s="187"/>
      <c r="F45" s="70"/>
      <c r="G45" s="70"/>
      <c r="H45" s="1569"/>
      <c r="I45" s="66">
        <f t="shared" si="8"/>
        <v>0</v>
      </c>
      <c r="J45" s="66">
        <f t="shared" si="8"/>
        <v>0</v>
      </c>
      <c r="K45" s="66">
        <f t="shared" si="9"/>
        <v>0</v>
      </c>
      <c r="L45" s="66">
        <f t="shared" si="9"/>
        <v>0</v>
      </c>
      <c r="M45" s="66">
        <f t="shared" si="9"/>
        <v>0</v>
      </c>
      <c r="N45" s="66">
        <f t="shared" si="9"/>
        <v>0</v>
      </c>
      <c r="O45" s="187"/>
      <c r="P45" s="25"/>
    </row>
    <row r="46" spans="2:17" x14ac:dyDescent="0.2">
      <c r="B46" s="21"/>
      <c r="C46" s="187"/>
      <c r="D46" s="509"/>
      <c r="E46" s="187"/>
      <c r="F46" s="70"/>
      <c r="G46" s="70"/>
      <c r="H46" s="1569"/>
      <c r="I46" s="66">
        <f t="shared" si="8"/>
        <v>0</v>
      </c>
      <c r="J46" s="66">
        <f>I46</f>
        <v>0</v>
      </c>
      <c r="K46" s="66">
        <f t="shared" si="9"/>
        <v>0</v>
      </c>
      <c r="L46" s="66">
        <f t="shared" si="9"/>
        <v>0</v>
      </c>
      <c r="M46" s="66">
        <f t="shared" si="9"/>
        <v>0</v>
      </c>
      <c r="N46" s="66">
        <f t="shared" si="9"/>
        <v>0</v>
      </c>
      <c r="O46" s="187"/>
      <c r="P46" s="25"/>
    </row>
    <row r="47" spans="2:17" x14ac:dyDescent="0.2">
      <c r="B47" s="21"/>
      <c r="C47" s="187"/>
      <c r="D47" s="195"/>
      <c r="E47" s="187"/>
      <c r="F47" s="70"/>
      <c r="G47" s="70"/>
      <c r="H47" s="854"/>
      <c r="I47" s="520">
        <f t="shared" ref="I47:M47" si="10">SUM(I43:I46)</f>
        <v>0</v>
      </c>
      <c r="J47" s="520">
        <f t="shared" si="10"/>
        <v>0</v>
      </c>
      <c r="K47" s="520">
        <f t="shared" si="10"/>
        <v>0</v>
      </c>
      <c r="L47" s="520">
        <f t="shared" si="10"/>
        <v>0</v>
      </c>
      <c r="M47" s="520">
        <f t="shared" si="10"/>
        <v>0</v>
      </c>
      <c r="N47" s="520">
        <f>SUM(N43:N46)</f>
        <v>0</v>
      </c>
      <c r="O47" s="187"/>
      <c r="P47" s="25"/>
    </row>
    <row r="48" spans="2:17" x14ac:dyDescent="0.2">
      <c r="B48" s="21"/>
      <c r="C48" s="187"/>
      <c r="D48" s="195"/>
      <c r="E48" s="187"/>
      <c r="F48" s="70"/>
      <c r="G48" s="70"/>
      <c r="H48" s="622"/>
      <c r="I48" s="70"/>
      <c r="J48" s="70"/>
      <c r="K48" s="70"/>
      <c r="L48" s="70"/>
      <c r="M48" s="70"/>
      <c r="N48" s="70"/>
      <c r="O48" s="187"/>
      <c r="P48" s="25"/>
    </row>
    <row r="49" spans="2:34" x14ac:dyDescent="0.2">
      <c r="B49" s="21"/>
      <c r="C49" s="187"/>
      <c r="D49" s="581" t="s">
        <v>864</v>
      </c>
      <c r="E49" s="187"/>
      <c r="F49" s="70"/>
      <c r="G49" s="70"/>
      <c r="H49" s="856"/>
      <c r="I49" s="519">
        <f t="shared" ref="I49:N49" si="11">I38+I39+I40+I47</f>
        <v>9714217.552083334</v>
      </c>
      <c r="J49" s="519">
        <f t="shared" si="11"/>
        <v>9515194.4750000015</v>
      </c>
      <c r="K49" s="519">
        <f t="shared" si="11"/>
        <v>9757444.5600000024</v>
      </c>
      <c r="L49" s="519">
        <f t="shared" si="11"/>
        <v>9757444.5600000024</v>
      </c>
      <c r="M49" s="519">
        <f t="shared" si="11"/>
        <v>9757444.5600000024</v>
      </c>
      <c r="N49" s="519">
        <f t="shared" si="11"/>
        <v>9757444.5600000005</v>
      </c>
      <c r="O49" s="187"/>
      <c r="P49" s="25"/>
    </row>
    <row r="50" spans="2:34" x14ac:dyDescent="0.2">
      <c r="B50" s="21"/>
      <c r="C50" s="81"/>
      <c r="D50" s="1235"/>
      <c r="E50" s="1236"/>
      <c r="F50" s="1237"/>
      <c r="G50" s="1237"/>
      <c r="H50" s="1570"/>
      <c r="I50" s="1237"/>
      <c r="J50" s="1237"/>
      <c r="K50" s="1237"/>
      <c r="L50" s="1237"/>
      <c r="M50" s="1237"/>
      <c r="N50" s="1237"/>
      <c r="O50" s="81"/>
      <c r="P50" s="25"/>
    </row>
    <row r="51" spans="2:34" x14ac:dyDescent="0.2">
      <c r="B51" s="21"/>
      <c r="C51" s="81"/>
      <c r="D51" s="1370"/>
      <c r="E51" s="550"/>
      <c r="F51" s="551"/>
      <c r="G51" s="551"/>
      <c r="H51" s="1571"/>
      <c r="I51" s="551"/>
      <c r="J51" s="551"/>
      <c r="K51" s="551"/>
      <c r="L51" s="551"/>
      <c r="M51" s="551"/>
      <c r="N51" s="551"/>
      <c r="O51" s="81"/>
      <c r="P51" s="25"/>
    </row>
    <row r="52" spans="2:34" x14ac:dyDescent="0.2">
      <c r="B52" s="840"/>
      <c r="C52" s="187"/>
      <c r="D52" s="512" t="s">
        <v>532</v>
      </c>
      <c r="E52" s="485"/>
      <c r="F52" s="78"/>
      <c r="G52" s="1241"/>
      <c r="H52" s="1572"/>
      <c r="I52" s="1042">
        <f t="shared" ref="I52:M52" si="12">+I32+I49</f>
        <v>19071297.399045512</v>
      </c>
      <c r="J52" s="1042">
        <f t="shared" si="12"/>
        <v>18654960.760734603</v>
      </c>
      <c r="K52" s="1042">
        <f t="shared" si="12"/>
        <v>19127337.8835494</v>
      </c>
      <c r="L52" s="1042">
        <f t="shared" si="12"/>
        <v>19127337.8835494</v>
      </c>
      <c r="M52" s="1042">
        <f t="shared" si="12"/>
        <v>19127337.8835494</v>
      </c>
      <c r="N52" s="1042">
        <f>+N32+N49</f>
        <v>19127337.883549396</v>
      </c>
      <c r="O52" s="187"/>
      <c r="P52" s="25"/>
    </row>
    <row r="53" spans="2:34" x14ac:dyDescent="0.2">
      <c r="B53" s="840"/>
      <c r="C53" s="187"/>
      <c r="D53" s="512"/>
      <c r="E53" s="485"/>
      <c r="F53" s="78"/>
      <c r="G53" s="1241"/>
      <c r="H53" s="857"/>
      <c r="I53" s="78"/>
      <c r="J53" s="78"/>
      <c r="K53" s="78"/>
      <c r="L53" s="78"/>
      <c r="M53" s="1347"/>
      <c r="N53" s="1347"/>
      <c r="O53" s="187"/>
      <c r="P53" s="25"/>
    </row>
    <row r="54" spans="2:34" x14ac:dyDescent="0.2">
      <c r="B54" s="21"/>
      <c r="C54" s="178"/>
      <c r="D54" s="214"/>
      <c r="E54" s="178"/>
      <c r="F54" s="179"/>
      <c r="G54" s="179"/>
      <c r="H54" s="179"/>
      <c r="I54" s="179"/>
      <c r="J54" s="179"/>
      <c r="K54" s="179"/>
      <c r="L54" s="179"/>
      <c r="M54" s="179"/>
      <c r="N54" s="179"/>
      <c r="O54" s="178"/>
      <c r="P54" s="25"/>
    </row>
    <row r="55" spans="2:34" x14ac:dyDescent="0.2">
      <c r="B55" s="21"/>
      <c r="C55" s="34"/>
      <c r="D55" s="36"/>
      <c r="E55" s="34"/>
      <c r="F55" s="182"/>
      <c r="G55" s="182"/>
      <c r="H55" s="182"/>
      <c r="I55" s="182"/>
      <c r="J55" s="182"/>
      <c r="K55" s="182"/>
      <c r="L55" s="182"/>
      <c r="M55" s="182"/>
      <c r="N55" s="182"/>
      <c r="O55" s="34"/>
      <c r="P55" s="25"/>
      <c r="AH55" s="1288"/>
    </row>
    <row r="56" spans="2:34" x14ac:dyDescent="0.2">
      <c r="B56" s="21"/>
      <c r="C56" s="34"/>
      <c r="D56" s="567" t="s">
        <v>168</v>
      </c>
      <c r="E56" s="34"/>
      <c r="F56" s="182"/>
      <c r="G56" s="165"/>
      <c r="H56" s="590">
        <f t="shared" ref="H56:M56" si="13">+H8</f>
        <v>2019</v>
      </c>
      <c r="I56" s="590">
        <f t="shared" si="13"/>
        <v>2020</v>
      </c>
      <c r="J56" s="590">
        <f t="shared" si="13"/>
        <v>2021</v>
      </c>
      <c r="K56" s="590">
        <f t="shared" si="13"/>
        <v>2022</v>
      </c>
      <c r="L56" s="590">
        <f t="shared" si="13"/>
        <v>2023</v>
      </c>
      <c r="M56" s="590">
        <f t="shared" si="13"/>
        <v>2024</v>
      </c>
      <c r="N56" s="590">
        <f>+N8</f>
        <v>2025</v>
      </c>
      <c r="O56" s="34"/>
      <c r="P56" s="25"/>
    </row>
    <row r="57" spans="2:34" x14ac:dyDescent="0.2">
      <c r="B57" s="21"/>
      <c r="C57" s="34"/>
      <c r="D57" s="36"/>
      <c r="E57" s="34"/>
      <c r="F57" s="182"/>
      <c r="G57" s="182"/>
      <c r="H57" s="182"/>
      <c r="I57" s="182"/>
      <c r="J57" s="182"/>
      <c r="K57" s="182"/>
      <c r="L57" s="182"/>
      <c r="M57" s="182"/>
      <c r="N57" s="182"/>
      <c r="O57" s="34"/>
      <c r="P57" s="25"/>
    </row>
    <row r="58" spans="2:34" x14ac:dyDescent="0.2">
      <c r="B58" s="21"/>
      <c r="C58" s="34"/>
      <c r="D58" s="195" t="s">
        <v>41</v>
      </c>
      <c r="E58" s="34"/>
      <c r="F58" s="182"/>
      <c r="G58" s="182"/>
      <c r="H58" s="182"/>
      <c r="I58" s="182"/>
      <c r="J58" s="182"/>
      <c r="K58" s="182"/>
      <c r="L58" s="182"/>
      <c r="M58" s="182"/>
      <c r="N58" s="182"/>
      <c r="O58" s="34"/>
      <c r="P58" s="25"/>
    </row>
    <row r="59" spans="2:34" x14ac:dyDescent="0.2">
      <c r="B59" s="21"/>
      <c r="C59" s="34"/>
      <c r="D59" s="509" t="s">
        <v>175</v>
      </c>
      <c r="E59" s="34"/>
      <c r="F59" s="182"/>
      <c r="G59" s="182"/>
      <c r="H59" s="511">
        <v>0</v>
      </c>
      <c r="I59" s="511">
        <f t="shared" ref="I59:J63" si="14">H59</f>
        <v>0</v>
      </c>
      <c r="J59" s="511">
        <f t="shared" si="14"/>
        <v>0</v>
      </c>
      <c r="K59" s="511">
        <f t="shared" ref="K59:N63" si="15">J59</f>
        <v>0</v>
      </c>
      <c r="L59" s="511">
        <f t="shared" si="15"/>
        <v>0</v>
      </c>
      <c r="M59" s="511">
        <f t="shared" si="15"/>
        <v>0</v>
      </c>
      <c r="N59" s="511">
        <f t="shared" si="15"/>
        <v>0</v>
      </c>
      <c r="O59" s="34"/>
      <c r="P59" s="25"/>
    </row>
    <row r="60" spans="2:34" x14ac:dyDescent="0.2">
      <c r="B60" s="21"/>
      <c r="C60" s="34"/>
      <c r="D60" s="508"/>
      <c r="E60" s="34"/>
      <c r="F60" s="182"/>
      <c r="G60" s="182"/>
      <c r="H60" s="511">
        <v>0</v>
      </c>
      <c r="I60" s="511">
        <f t="shared" si="14"/>
        <v>0</v>
      </c>
      <c r="J60" s="511">
        <f t="shared" si="14"/>
        <v>0</v>
      </c>
      <c r="K60" s="511">
        <f t="shared" si="15"/>
        <v>0</v>
      </c>
      <c r="L60" s="511">
        <f t="shared" si="15"/>
        <v>0</v>
      </c>
      <c r="M60" s="511">
        <f t="shared" si="15"/>
        <v>0</v>
      </c>
      <c r="N60" s="511">
        <f t="shared" si="15"/>
        <v>0</v>
      </c>
      <c r="O60" s="34"/>
      <c r="P60" s="25"/>
    </row>
    <row r="61" spans="2:34" x14ac:dyDescent="0.2">
      <c r="B61" s="21"/>
      <c r="C61" s="34"/>
      <c r="D61" s="508"/>
      <c r="E61" s="34"/>
      <c r="F61" s="182"/>
      <c r="G61" s="182"/>
      <c r="H61" s="511">
        <v>0</v>
      </c>
      <c r="I61" s="511">
        <f t="shared" si="14"/>
        <v>0</v>
      </c>
      <c r="J61" s="511">
        <f t="shared" si="14"/>
        <v>0</v>
      </c>
      <c r="K61" s="511">
        <f t="shared" si="15"/>
        <v>0</v>
      </c>
      <c r="L61" s="511">
        <f t="shared" si="15"/>
        <v>0</v>
      </c>
      <c r="M61" s="511">
        <f t="shared" si="15"/>
        <v>0</v>
      </c>
      <c r="N61" s="511">
        <f t="shared" si="15"/>
        <v>0</v>
      </c>
      <c r="O61" s="34"/>
      <c r="P61" s="25"/>
    </row>
    <row r="62" spans="2:34" x14ac:dyDescent="0.2">
      <c r="B62" s="21"/>
      <c r="C62" s="34"/>
      <c r="D62" s="508"/>
      <c r="E62" s="34"/>
      <c r="F62" s="182"/>
      <c r="G62" s="182"/>
      <c r="H62" s="511">
        <v>0</v>
      </c>
      <c r="I62" s="511">
        <f t="shared" si="14"/>
        <v>0</v>
      </c>
      <c r="J62" s="511">
        <f t="shared" si="14"/>
        <v>0</v>
      </c>
      <c r="K62" s="511">
        <f t="shared" si="15"/>
        <v>0</v>
      </c>
      <c r="L62" s="511">
        <f t="shared" si="15"/>
        <v>0</v>
      </c>
      <c r="M62" s="511">
        <f t="shared" si="15"/>
        <v>0</v>
      </c>
      <c r="N62" s="511">
        <f t="shared" si="15"/>
        <v>0</v>
      </c>
      <c r="O62" s="34"/>
      <c r="P62" s="25"/>
      <c r="AG62" s="857"/>
    </row>
    <row r="63" spans="2:34" x14ac:dyDescent="0.2">
      <c r="B63" s="21"/>
      <c r="C63" s="34"/>
      <c r="D63" s="508"/>
      <c r="E63" s="34"/>
      <c r="F63" s="182"/>
      <c r="G63" s="182"/>
      <c r="H63" s="511">
        <v>0</v>
      </c>
      <c r="I63" s="511">
        <f t="shared" si="14"/>
        <v>0</v>
      </c>
      <c r="J63" s="511">
        <f>I63</f>
        <v>0</v>
      </c>
      <c r="K63" s="511">
        <f t="shared" si="15"/>
        <v>0</v>
      </c>
      <c r="L63" s="511">
        <f t="shared" si="15"/>
        <v>0</v>
      </c>
      <c r="M63" s="511">
        <f t="shared" si="15"/>
        <v>0</v>
      </c>
      <c r="N63" s="511">
        <f t="shared" si="15"/>
        <v>0</v>
      </c>
      <c r="O63" s="34"/>
      <c r="P63" s="25"/>
      <c r="AG63" s="792"/>
    </row>
    <row r="64" spans="2:34" x14ac:dyDescent="0.2">
      <c r="B64" s="21"/>
      <c r="C64" s="34"/>
      <c r="D64" s="36"/>
      <c r="E64" s="34"/>
      <c r="F64" s="182"/>
      <c r="G64" s="182"/>
      <c r="H64" s="518">
        <f t="shared" ref="H64:M64" si="16">SUM(H59:H63)</f>
        <v>0</v>
      </c>
      <c r="I64" s="518">
        <f t="shared" si="16"/>
        <v>0</v>
      </c>
      <c r="J64" s="518">
        <f t="shared" si="16"/>
        <v>0</v>
      </c>
      <c r="K64" s="518">
        <f t="shared" si="16"/>
        <v>0</v>
      </c>
      <c r="L64" s="518">
        <f t="shared" si="16"/>
        <v>0</v>
      </c>
      <c r="M64" s="518">
        <f t="shared" si="16"/>
        <v>0</v>
      </c>
      <c r="N64" s="518">
        <f>SUM(N59:N63)</f>
        <v>0</v>
      </c>
      <c r="O64" s="34"/>
      <c r="P64" s="25"/>
      <c r="Q64" s="792"/>
    </row>
    <row r="65" spans="2:16" x14ac:dyDescent="0.2">
      <c r="B65" s="21"/>
      <c r="C65" s="34"/>
      <c r="D65" s="1235"/>
      <c r="E65" s="1236"/>
      <c r="F65" s="1237"/>
      <c r="G65" s="1237"/>
      <c r="H65" s="1237"/>
      <c r="I65" s="1237"/>
      <c r="J65" s="1237"/>
      <c r="K65" s="1237"/>
      <c r="L65" s="1237"/>
      <c r="M65" s="1237"/>
      <c r="N65" s="1237"/>
      <c r="O65" s="34"/>
      <c r="P65" s="25"/>
    </row>
    <row r="66" spans="2:16" x14ac:dyDescent="0.2">
      <c r="B66" s="21"/>
      <c r="C66" s="34"/>
      <c r="D66" s="1238"/>
      <c r="E66" s="1239"/>
      <c r="F66" s="1240"/>
      <c r="G66" s="1240"/>
      <c r="H66" s="1240"/>
      <c r="I66" s="1240"/>
      <c r="J66" s="1240"/>
      <c r="K66" s="1240"/>
      <c r="L66" s="1240"/>
      <c r="M66" s="1347"/>
      <c r="N66" s="1347"/>
      <c r="O66" s="34"/>
      <c r="P66" s="25"/>
    </row>
    <row r="67" spans="2:16" x14ac:dyDescent="0.2">
      <c r="B67" s="21"/>
      <c r="C67" s="34"/>
      <c r="D67" s="195" t="s">
        <v>42</v>
      </c>
      <c r="E67" s="34"/>
      <c r="F67" s="182"/>
      <c r="G67" s="182"/>
      <c r="H67" s="182"/>
      <c r="I67" s="182"/>
      <c r="J67" s="182"/>
      <c r="K67" s="182"/>
      <c r="L67" s="182"/>
      <c r="M67" s="182"/>
      <c r="N67" s="182"/>
      <c r="O67" s="34"/>
      <c r="P67" s="25"/>
    </row>
    <row r="68" spans="2:16" x14ac:dyDescent="0.2">
      <c r="B68" s="21"/>
      <c r="C68" s="34"/>
      <c r="D68" s="508" t="s">
        <v>175</v>
      </c>
      <c r="E68" s="34"/>
      <c r="F68" s="182"/>
      <c r="G68" s="182"/>
      <c r="H68" s="511">
        <v>0</v>
      </c>
      <c r="I68" s="511">
        <f>H68</f>
        <v>0</v>
      </c>
      <c r="J68" s="511">
        <f t="shared" ref="J68:N72" si="17">I68</f>
        <v>0</v>
      </c>
      <c r="K68" s="511">
        <f t="shared" si="17"/>
        <v>0</v>
      </c>
      <c r="L68" s="511">
        <f t="shared" si="17"/>
        <v>0</v>
      </c>
      <c r="M68" s="511">
        <f t="shared" si="17"/>
        <v>0</v>
      </c>
      <c r="N68" s="511">
        <f t="shared" si="17"/>
        <v>0</v>
      </c>
      <c r="O68" s="34"/>
      <c r="P68" s="25"/>
    </row>
    <row r="69" spans="2:16" x14ac:dyDescent="0.2">
      <c r="B69" s="21"/>
      <c r="C69" s="34"/>
      <c r="D69" s="508"/>
      <c r="E69" s="34"/>
      <c r="F69" s="182"/>
      <c r="G69" s="182"/>
      <c r="H69" s="511">
        <v>0</v>
      </c>
      <c r="I69" s="511">
        <f>H69</f>
        <v>0</v>
      </c>
      <c r="J69" s="511">
        <f t="shared" si="17"/>
        <v>0</v>
      </c>
      <c r="K69" s="511">
        <f t="shared" si="17"/>
        <v>0</v>
      </c>
      <c r="L69" s="511">
        <f t="shared" si="17"/>
        <v>0</v>
      </c>
      <c r="M69" s="511">
        <f t="shared" si="17"/>
        <v>0</v>
      </c>
      <c r="N69" s="511">
        <f t="shared" si="17"/>
        <v>0</v>
      </c>
      <c r="O69" s="34"/>
      <c r="P69" s="25"/>
    </row>
    <row r="70" spans="2:16" x14ac:dyDescent="0.2">
      <c r="B70" s="21"/>
      <c r="C70" s="34"/>
      <c r="D70" s="508"/>
      <c r="E70" s="34"/>
      <c r="F70" s="182"/>
      <c r="G70" s="182"/>
      <c r="H70" s="511">
        <v>0</v>
      </c>
      <c r="I70" s="511">
        <f>H70</f>
        <v>0</v>
      </c>
      <c r="J70" s="511">
        <f t="shared" si="17"/>
        <v>0</v>
      </c>
      <c r="K70" s="511">
        <f t="shared" si="17"/>
        <v>0</v>
      </c>
      <c r="L70" s="511">
        <f t="shared" si="17"/>
        <v>0</v>
      </c>
      <c r="M70" s="511">
        <f t="shared" si="17"/>
        <v>0</v>
      </c>
      <c r="N70" s="511">
        <f t="shared" si="17"/>
        <v>0</v>
      </c>
      <c r="O70" s="34"/>
      <c r="P70" s="25"/>
    </row>
    <row r="71" spans="2:16" x14ac:dyDescent="0.2">
      <c r="B71" s="21"/>
      <c r="C71" s="34"/>
      <c r="D71" s="508"/>
      <c r="E71" s="34"/>
      <c r="F71" s="182"/>
      <c r="G71" s="182"/>
      <c r="H71" s="511">
        <v>0</v>
      </c>
      <c r="I71" s="511">
        <f>H71</f>
        <v>0</v>
      </c>
      <c r="J71" s="511">
        <f t="shared" si="17"/>
        <v>0</v>
      </c>
      <c r="K71" s="511">
        <f t="shared" si="17"/>
        <v>0</v>
      </c>
      <c r="L71" s="511">
        <f t="shared" si="17"/>
        <v>0</v>
      </c>
      <c r="M71" s="511">
        <f t="shared" si="17"/>
        <v>0</v>
      </c>
      <c r="N71" s="511">
        <f t="shared" si="17"/>
        <v>0</v>
      </c>
      <c r="O71" s="34"/>
      <c r="P71" s="25"/>
    </row>
    <row r="72" spans="2:16" x14ac:dyDescent="0.2">
      <c r="B72" s="21"/>
      <c r="C72" s="34"/>
      <c r="D72" s="508"/>
      <c r="E72" s="34"/>
      <c r="F72" s="182"/>
      <c r="G72" s="182"/>
      <c r="H72" s="511">
        <v>0</v>
      </c>
      <c r="I72" s="511">
        <f>H72</f>
        <v>0</v>
      </c>
      <c r="J72" s="511">
        <f t="shared" si="17"/>
        <v>0</v>
      </c>
      <c r="K72" s="511">
        <f t="shared" si="17"/>
        <v>0</v>
      </c>
      <c r="L72" s="511">
        <f t="shared" si="17"/>
        <v>0</v>
      </c>
      <c r="M72" s="511">
        <f t="shared" si="17"/>
        <v>0</v>
      </c>
      <c r="N72" s="511">
        <f t="shared" si="17"/>
        <v>0</v>
      </c>
      <c r="O72" s="34"/>
      <c r="P72" s="25"/>
    </row>
    <row r="73" spans="2:16" x14ac:dyDescent="0.2">
      <c r="B73" s="21"/>
      <c r="C73" s="34"/>
      <c r="D73" s="36"/>
      <c r="E73" s="34"/>
      <c r="F73" s="182"/>
      <c r="G73" s="182"/>
      <c r="H73" s="518">
        <f t="shared" ref="H73:M73" si="18">SUM(H68:H72)</f>
        <v>0</v>
      </c>
      <c r="I73" s="518">
        <f t="shared" si="18"/>
        <v>0</v>
      </c>
      <c r="J73" s="518">
        <f t="shared" si="18"/>
        <v>0</v>
      </c>
      <c r="K73" s="518">
        <f t="shared" si="18"/>
        <v>0</v>
      </c>
      <c r="L73" s="518">
        <f t="shared" si="18"/>
        <v>0</v>
      </c>
      <c r="M73" s="518">
        <f t="shared" si="18"/>
        <v>0</v>
      </c>
      <c r="N73" s="518">
        <f>SUM(N68:N72)</f>
        <v>0</v>
      </c>
      <c r="O73" s="34"/>
      <c r="P73" s="25"/>
    </row>
    <row r="74" spans="2:16" x14ac:dyDescent="0.2">
      <c r="B74" s="21"/>
      <c r="C74" s="34"/>
      <c r="D74" s="513"/>
      <c r="E74" s="514"/>
      <c r="F74" s="515"/>
      <c r="G74" s="515"/>
      <c r="H74" s="515"/>
      <c r="I74" s="515"/>
      <c r="J74" s="515"/>
      <c r="K74" s="515"/>
      <c r="L74" s="515"/>
      <c r="M74" s="515"/>
      <c r="N74" s="515"/>
      <c r="O74" s="34"/>
      <c r="P74" s="25"/>
    </row>
    <row r="75" spans="2:16" x14ac:dyDescent="0.2">
      <c r="B75" s="21"/>
      <c r="C75" s="34"/>
      <c r="D75" s="512"/>
      <c r="E75" s="485"/>
      <c r="F75" s="78"/>
      <c r="G75" s="1241"/>
      <c r="H75" s="78"/>
      <c r="I75" s="78"/>
      <c r="J75" s="78"/>
      <c r="K75" s="78"/>
      <c r="L75" s="78"/>
      <c r="M75" s="78"/>
      <c r="N75" s="78"/>
      <c r="O75" s="34"/>
      <c r="P75" s="25"/>
    </row>
    <row r="76" spans="2:16" x14ac:dyDescent="0.2">
      <c r="B76" s="21"/>
      <c r="C76" s="34"/>
      <c r="D76" s="195" t="s">
        <v>71</v>
      </c>
      <c r="E76" s="34"/>
      <c r="F76" s="182"/>
      <c r="G76" s="182"/>
      <c r="H76" s="518">
        <f t="shared" ref="H76:M76" si="19">H64+H73</f>
        <v>0</v>
      </c>
      <c r="I76" s="518">
        <f t="shared" si="19"/>
        <v>0</v>
      </c>
      <c r="J76" s="518">
        <f t="shared" si="19"/>
        <v>0</v>
      </c>
      <c r="K76" s="518">
        <f t="shared" si="19"/>
        <v>0</v>
      </c>
      <c r="L76" s="518">
        <f t="shared" si="19"/>
        <v>0</v>
      </c>
      <c r="M76" s="518">
        <f t="shared" si="19"/>
        <v>0</v>
      </c>
      <c r="N76" s="518">
        <f>N64+N73</f>
        <v>0</v>
      </c>
      <c r="O76" s="34"/>
      <c r="P76" s="25"/>
    </row>
    <row r="77" spans="2:16" x14ac:dyDescent="0.2">
      <c r="B77" s="21"/>
      <c r="C77" s="6"/>
      <c r="D77" s="7"/>
      <c r="E77" s="6"/>
      <c r="F77" s="165"/>
      <c r="G77" s="165"/>
      <c r="H77" s="165"/>
      <c r="I77" s="165"/>
      <c r="J77" s="165"/>
      <c r="K77" s="165"/>
      <c r="L77" s="165"/>
      <c r="M77" s="165"/>
      <c r="N77" s="165"/>
      <c r="O77" s="6"/>
      <c r="P77" s="25"/>
    </row>
    <row r="78" spans="2:16" x14ac:dyDescent="0.2">
      <c r="B78" s="21"/>
      <c r="C78" s="178"/>
      <c r="D78" s="214"/>
      <c r="E78" s="178"/>
      <c r="F78" s="179"/>
      <c r="G78" s="179"/>
      <c r="H78" s="179"/>
      <c r="I78" s="179"/>
      <c r="J78" s="179"/>
      <c r="K78" s="179"/>
      <c r="L78" s="179"/>
      <c r="M78" s="179"/>
      <c r="N78" s="179"/>
      <c r="O78" s="178"/>
      <c r="P78" s="25"/>
    </row>
    <row r="79" spans="2:16" x14ac:dyDescent="0.2">
      <c r="B79" s="21"/>
      <c r="C79" s="34"/>
      <c r="D79" s="36"/>
      <c r="E79" s="34"/>
      <c r="F79" s="182"/>
      <c r="G79" s="182"/>
      <c r="H79" s="182"/>
      <c r="I79" s="182"/>
      <c r="J79" s="182"/>
      <c r="K79" s="182"/>
      <c r="L79" s="182"/>
      <c r="M79" s="182"/>
      <c r="N79" s="182"/>
      <c r="O79" s="34"/>
      <c r="P79" s="25"/>
    </row>
    <row r="80" spans="2:16" x14ac:dyDescent="0.2">
      <c r="B80" s="21"/>
      <c r="C80" s="34"/>
      <c r="D80" s="567" t="s">
        <v>169</v>
      </c>
      <c r="E80" s="34"/>
      <c r="F80" s="182"/>
      <c r="G80" s="165"/>
      <c r="H80" s="590">
        <f t="shared" ref="H80:M80" si="20">+H8</f>
        <v>2019</v>
      </c>
      <c r="I80" s="590">
        <f t="shared" si="20"/>
        <v>2020</v>
      </c>
      <c r="J80" s="590">
        <f t="shared" si="20"/>
        <v>2021</v>
      </c>
      <c r="K80" s="590">
        <f t="shared" si="20"/>
        <v>2022</v>
      </c>
      <c r="L80" s="590">
        <f t="shared" si="20"/>
        <v>2023</v>
      </c>
      <c r="M80" s="590">
        <f t="shared" si="20"/>
        <v>2024</v>
      </c>
      <c r="N80" s="590">
        <f>+N8</f>
        <v>2025</v>
      </c>
      <c r="O80" s="34"/>
      <c r="P80" s="25"/>
    </row>
    <row r="81" spans="2:16" x14ac:dyDescent="0.2">
      <c r="B81" s="21"/>
      <c r="C81" s="34"/>
      <c r="D81" s="185"/>
      <c r="E81" s="34"/>
      <c r="F81" s="182"/>
      <c r="G81" s="182"/>
      <c r="H81" s="182"/>
      <c r="I81" s="182"/>
      <c r="J81" s="182"/>
      <c r="K81" s="182"/>
      <c r="L81" s="182"/>
      <c r="M81" s="182"/>
      <c r="N81" s="182"/>
      <c r="O81" s="34"/>
      <c r="P81" s="25"/>
    </row>
    <row r="82" spans="2:16" x14ac:dyDescent="0.2">
      <c r="B82" s="21"/>
      <c r="C82" s="34"/>
      <c r="D82" s="195" t="s">
        <v>41</v>
      </c>
      <c r="E82" s="34"/>
      <c r="F82" s="182"/>
      <c r="G82" s="182"/>
      <c r="H82" s="182"/>
      <c r="I82" s="182"/>
      <c r="J82" s="182"/>
      <c r="K82" s="182"/>
      <c r="L82" s="182"/>
      <c r="M82" s="182"/>
      <c r="N82" s="182"/>
      <c r="O82" s="34"/>
      <c r="P82" s="25"/>
    </row>
    <row r="83" spans="2:16" x14ac:dyDescent="0.2">
      <c r="B83" s="21"/>
      <c r="C83" s="34"/>
      <c r="D83" s="34" t="s">
        <v>170</v>
      </c>
      <c r="E83" s="34"/>
      <c r="F83" s="182"/>
      <c r="G83" s="182"/>
      <c r="H83" s="511">
        <v>0</v>
      </c>
      <c r="I83" s="511">
        <f t="shared" ref="I83:J87" si="21">H83</f>
        <v>0</v>
      </c>
      <c r="J83" s="511">
        <f t="shared" si="21"/>
        <v>0</v>
      </c>
      <c r="K83" s="511">
        <f t="shared" ref="K83:N87" si="22">J83</f>
        <v>0</v>
      </c>
      <c r="L83" s="511">
        <f t="shared" si="22"/>
        <v>0</v>
      </c>
      <c r="M83" s="511">
        <f t="shared" si="22"/>
        <v>0</v>
      </c>
      <c r="N83" s="511">
        <f t="shared" si="22"/>
        <v>0</v>
      </c>
      <c r="O83" s="34"/>
      <c r="P83" s="25"/>
    </row>
    <row r="84" spans="2:16" x14ac:dyDescent="0.2">
      <c r="B84" s="21"/>
      <c r="C84" s="34"/>
      <c r="D84" s="561"/>
      <c r="E84" s="34"/>
      <c r="F84" s="182"/>
      <c r="G84" s="182"/>
      <c r="H84" s="511">
        <v>0</v>
      </c>
      <c r="I84" s="511">
        <f t="shared" si="21"/>
        <v>0</v>
      </c>
      <c r="J84" s="511">
        <f t="shared" si="21"/>
        <v>0</v>
      </c>
      <c r="K84" s="511">
        <f t="shared" si="22"/>
        <v>0</v>
      </c>
      <c r="L84" s="511">
        <f t="shared" si="22"/>
        <v>0</v>
      </c>
      <c r="M84" s="511">
        <f t="shared" si="22"/>
        <v>0</v>
      </c>
      <c r="N84" s="511">
        <f t="shared" si="22"/>
        <v>0</v>
      </c>
      <c r="O84" s="34"/>
      <c r="P84" s="25"/>
    </row>
    <row r="85" spans="2:16" x14ac:dyDescent="0.2">
      <c r="B85" s="21"/>
      <c r="C85" s="34"/>
      <c r="D85" s="508"/>
      <c r="E85" s="34"/>
      <c r="F85" s="182"/>
      <c r="G85" s="182"/>
      <c r="H85" s="511">
        <v>0</v>
      </c>
      <c r="I85" s="511">
        <f t="shared" si="21"/>
        <v>0</v>
      </c>
      <c r="J85" s="511">
        <f t="shared" si="21"/>
        <v>0</v>
      </c>
      <c r="K85" s="511">
        <f t="shared" si="22"/>
        <v>0</v>
      </c>
      <c r="L85" s="511">
        <f t="shared" si="22"/>
        <v>0</v>
      </c>
      <c r="M85" s="511">
        <f t="shared" si="22"/>
        <v>0</v>
      </c>
      <c r="N85" s="511">
        <f t="shared" si="22"/>
        <v>0</v>
      </c>
      <c r="O85" s="34"/>
      <c r="P85" s="25"/>
    </row>
    <row r="86" spans="2:16" x14ac:dyDescent="0.2">
      <c r="B86" s="21"/>
      <c r="C86" s="34"/>
      <c r="D86" s="508"/>
      <c r="E86" s="34"/>
      <c r="F86" s="182"/>
      <c r="G86" s="182"/>
      <c r="H86" s="511">
        <v>0</v>
      </c>
      <c r="I86" s="511">
        <f t="shared" si="21"/>
        <v>0</v>
      </c>
      <c r="J86" s="511">
        <f t="shared" si="21"/>
        <v>0</v>
      </c>
      <c r="K86" s="511">
        <f t="shared" si="22"/>
        <v>0</v>
      </c>
      <c r="L86" s="511">
        <f t="shared" si="22"/>
        <v>0</v>
      </c>
      <c r="M86" s="511">
        <f t="shared" si="22"/>
        <v>0</v>
      </c>
      <c r="N86" s="511">
        <f t="shared" si="22"/>
        <v>0</v>
      </c>
      <c r="O86" s="34"/>
      <c r="P86" s="25"/>
    </row>
    <row r="87" spans="2:16" x14ac:dyDescent="0.2">
      <c r="B87" s="21"/>
      <c r="C87" s="34"/>
      <c r="D87" s="508"/>
      <c r="E87" s="34"/>
      <c r="F87" s="182"/>
      <c r="G87" s="182"/>
      <c r="H87" s="511">
        <v>0</v>
      </c>
      <c r="I87" s="511">
        <f t="shared" si="21"/>
        <v>0</v>
      </c>
      <c r="J87" s="511">
        <f t="shared" si="21"/>
        <v>0</v>
      </c>
      <c r="K87" s="511">
        <f t="shared" si="22"/>
        <v>0</v>
      </c>
      <c r="L87" s="511">
        <f t="shared" si="22"/>
        <v>0</v>
      </c>
      <c r="M87" s="511">
        <f t="shared" si="22"/>
        <v>0</v>
      </c>
      <c r="N87" s="511">
        <f t="shared" si="22"/>
        <v>0</v>
      </c>
      <c r="O87" s="34"/>
      <c r="P87" s="25"/>
    </row>
    <row r="88" spans="2:16" x14ac:dyDescent="0.2">
      <c r="B88" s="21"/>
      <c r="C88" s="34"/>
      <c r="D88" s="36" t="s">
        <v>132</v>
      </c>
      <c r="E88" s="34"/>
      <c r="F88" s="182"/>
      <c r="G88" s="182"/>
      <c r="H88" s="518">
        <f t="shared" ref="H88:M88" si="23">SUM(H83:H87)</f>
        <v>0</v>
      </c>
      <c r="I88" s="518">
        <f t="shared" si="23"/>
        <v>0</v>
      </c>
      <c r="J88" s="518">
        <f t="shared" si="23"/>
        <v>0</v>
      </c>
      <c r="K88" s="518">
        <f t="shared" si="23"/>
        <v>0</v>
      </c>
      <c r="L88" s="518">
        <f t="shared" si="23"/>
        <v>0</v>
      </c>
      <c r="M88" s="518">
        <f t="shared" si="23"/>
        <v>0</v>
      </c>
      <c r="N88" s="518">
        <f>SUM(N83:N87)</f>
        <v>0</v>
      </c>
      <c r="O88" s="34"/>
      <c r="P88" s="25"/>
    </row>
    <row r="89" spans="2:16" x14ac:dyDescent="0.2">
      <c r="B89" s="21"/>
      <c r="C89" s="34"/>
      <c r="D89" s="513"/>
      <c r="E89" s="514"/>
      <c r="F89" s="515"/>
      <c r="G89" s="515"/>
      <c r="H89" s="515"/>
      <c r="I89" s="515"/>
      <c r="J89" s="515"/>
      <c r="K89" s="515"/>
      <c r="L89" s="515"/>
      <c r="M89" s="515"/>
      <c r="N89" s="515"/>
      <c r="O89" s="34"/>
      <c r="P89" s="25"/>
    </row>
    <row r="90" spans="2:16" x14ac:dyDescent="0.2">
      <c r="B90" s="21"/>
      <c r="C90" s="34"/>
      <c r="D90" s="512"/>
      <c r="E90" s="485"/>
      <c r="F90" s="78"/>
      <c r="G90" s="1241"/>
      <c r="H90" s="78"/>
      <c r="I90" s="78"/>
      <c r="J90" s="78"/>
      <c r="K90" s="78"/>
      <c r="L90" s="78"/>
      <c r="M90" s="1347"/>
      <c r="N90" s="1347"/>
      <c r="O90" s="34"/>
      <c r="P90" s="25"/>
    </row>
    <row r="91" spans="2:16" x14ac:dyDescent="0.2">
      <c r="B91" s="21"/>
      <c r="C91" s="34"/>
      <c r="D91" s="195" t="s">
        <v>42</v>
      </c>
      <c r="E91" s="34"/>
      <c r="F91" s="182"/>
      <c r="G91" s="182"/>
      <c r="H91" s="182"/>
      <c r="I91" s="182"/>
      <c r="J91" s="182"/>
      <c r="K91" s="182"/>
      <c r="L91" s="182"/>
      <c r="M91" s="182"/>
      <c r="N91" s="182"/>
      <c r="O91" s="34"/>
      <c r="P91" s="25"/>
    </row>
    <row r="92" spans="2:16" x14ac:dyDescent="0.2">
      <c r="B92" s="21"/>
      <c r="C92" s="34"/>
      <c r="D92" s="34" t="s">
        <v>170</v>
      </c>
      <c r="E92" s="34"/>
      <c r="F92" s="182"/>
      <c r="G92" s="182"/>
      <c r="H92" s="552">
        <v>0</v>
      </c>
      <c r="I92" s="552">
        <f t="shared" ref="I92:N92" si="24">+H92</f>
        <v>0</v>
      </c>
      <c r="J92" s="552">
        <f t="shared" si="24"/>
        <v>0</v>
      </c>
      <c r="K92" s="552">
        <f t="shared" si="24"/>
        <v>0</v>
      </c>
      <c r="L92" s="552">
        <f t="shared" si="24"/>
        <v>0</v>
      </c>
      <c r="M92" s="552">
        <f t="shared" si="24"/>
        <v>0</v>
      </c>
      <c r="N92" s="552">
        <f t="shared" si="24"/>
        <v>0</v>
      </c>
      <c r="O92" s="34"/>
      <c r="P92" s="25"/>
    </row>
    <row r="93" spans="2:16" x14ac:dyDescent="0.2">
      <c r="B93" s="21"/>
      <c r="C93" s="34"/>
      <c r="D93" s="508"/>
      <c r="E93" s="34"/>
      <c r="F93" s="182"/>
      <c r="G93" s="182"/>
      <c r="H93" s="511">
        <v>0</v>
      </c>
      <c r="I93" s="511">
        <f t="shared" ref="I93:J96" si="25">H93</f>
        <v>0</v>
      </c>
      <c r="J93" s="511">
        <f t="shared" si="25"/>
        <v>0</v>
      </c>
      <c r="K93" s="511">
        <f t="shared" ref="K93:N96" si="26">J93</f>
        <v>0</v>
      </c>
      <c r="L93" s="511">
        <f t="shared" si="26"/>
        <v>0</v>
      </c>
      <c r="M93" s="511">
        <f t="shared" si="26"/>
        <v>0</v>
      </c>
      <c r="N93" s="511">
        <f t="shared" si="26"/>
        <v>0</v>
      </c>
      <c r="O93" s="34"/>
      <c r="P93" s="25"/>
    </row>
    <row r="94" spans="2:16" x14ac:dyDescent="0.2">
      <c r="B94" s="21"/>
      <c r="C94" s="34"/>
      <c r="D94" s="508"/>
      <c r="E94" s="34"/>
      <c r="F94" s="182"/>
      <c r="G94" s="182"/>
      <c r="H94" s="511">
        <v>0</v>
      </c>
      <c r="I94" s="511">
        <f t="shared" si="25"/>
        <v>0</v>
      </c>
      <c r="J94" s="511">
        <f t="shared" si="25"/>
        <v>0</v>
      </c>
      <c r="K94" s="511">
        <f t="shared" si="26"/>
        <v>0</v>
      </c>
      <c r="L94" s="511">
        <f t="shared" si="26"/>
        <v>0</v>
      </c>
      <c r="M94" s="511">
        <f t="shared" si="26"/>
        <v>0</v>
      </c>
      <c r="N94" s="511">
        <f t="shared" si="26"/>
        <v>0</v>
      </c>
      <c r="O94" s="34"/>
      <c r="P94" s="25"/>
    </row>
    <row r="95" spans="2:16" x14ac:dyDescent="0.2">
      <c r="B95" s="21"/>
      <c r="C95" s="34"/>
      <c r="D95" s="508"/>
      <c r="E95" s="34"/>
      <c r="F95" s="182"/>
      <c r="G95" s="182"/>
      <c r="H95" s="511">
        <v>0</v>
      </c>
      <c r="I95" s="511">
        <f t="shared" si="25"/>
        <v>0</v>
      </c>
      <c r="J95" s="511">
        <f t="shared" si="25"/>
        <v>0</v>
      </c>
      <c r="K95" s="511">
        <f t="shared" si="26"/>
        <v>0</v>
      </c>
      <c r="L95" s="511">
        <f t="shared" si="26"/>
        <v>0</v>
      </c>
      <c r="M95" s="511">
        <f t="shared" si="26"/>
        <v>0</v>
      </c>
      <c r="N95" s="511">
        <f t="shared" si="26"/>
        <v>0</v>
      </c>
      <c r="O95" s="34"/>
      <c r="P95" s="25"/>
    </row>
    <row r="96" spans="2:16" x14ac:dyDescent="0.2">
      <c r="B96" s="21"/>
      <c r="C96" s="34"/>
      <c r="D96" s="508"/>
      <c r="E96" s="34"/>
      <c r="F96" s="182"/>
      <c r="G96" s="182"/>
      <c r="H96" s="511">
        <v>0</v>
      </c>
      <c r="I96" s="511">
        <f t="shared" si="25"/>
        <v>0</v>
      </c>
      <c r="J96" s="511">
        <f>I96</f>
        <v>0</v>
      </c>
      <c r="K96" s="511">
        <f t="shared" si="26"/>
        <v>0</v>
      </c>
      <c r="L96" s="511">
        <f t="shared" si="26"/>
        <v>0</v>
      </c>
      <c r="M96" s="511">
        <f t="shared" si="26"/>
        <v>0</v>
      </c>
      <c r="N96" s="511">
        <f t="shared" si="26"/>
        <v>0</v>
      </c>
      <c r="O96" s="34"/>
      <c r="P96" s="25"/>
    </row>
    <row r="97" spans="2:16" x14ac:dyDescent="0.2">
      <c r="B97" s="21"/>
      <c r="C97" s="34"/>
      <c r="D97" s="36" t="s">
        <v>132</v>
      </c>
      <c r="E97" s="34"/>
      <c r="F97" s="182"/>
      <c r="G97" s="182"/>
      <c r="H97" s="518">
        <f t="shared" ref="H97:M97" si="27">SUM(H92:H96)</f>
        <v>0</v>
      </c>
      <c r="I97" s="518">
        <f t="shared" si="27"/>
        <v>0</v>
      </c>
      <c r="J97" s="518">
        <f t="shared" si="27"/>
        <v>0</v>
      </c>
      <c r="K97" s="518">
        <f t="shared" si="27"/>
        <v>0</v>
      </c>
      <c r="L97" s="518">
        <f t="shared" si="27"/>
        <v>0</v>
      </c>
      <c r="M97" s="518">
        <f t="shared" si="27"/>
        <v>0</v>
      </c>
      <c r="N97" s="518">
        <f>SUM(N92:N96)</f>
        <v>0</v>
      </c>
      <c r="O97" s="34"/>
      <c r="P97" s="25"/>
    </row>
    <row r="98" spans="2:16" x14ac:dyDescent="0.2">
      <c r="B98" s="21"/>
      <c r="C98" s="34"/>
      <c r="D98" s="513"/>
      <c r="E98" s="514"/>
      <c r="F98" s="515"/>
      <c r="G98" s="515"/>
      <c r="H98" s="515"/>
      <c r="I98" s="515"/>
      <c r="J98" s="515"/>
      <c r="K98" s="515"/>
      <c r="L98" s="515"/>
      <c r="M98" s="515"/>
      <c r="N98" s="515"/>
      <c r="O98" s="34"/>
      <c r="P98" s="25"/>
    </row>
    <row r="99" spans="2:16" x14ac:dyDescent="0.2">
      <c r="B99" s="21"/>
      <c r="C99" s="34"/>
      <c r="D99" s="512"/>
      <c r="E99" s="485"/>
      <c r="F99" s="78"/>
      <c r="G99" s="1241"/>
      <c r="H99" s="78"/>
      <c r="I99" s="78"/>
      <c r="J99" s="78"/>
      <c r="K99" s="78"/>
      <c r="L99" s="78"/>
      <c r="M99" s="78"/>
      <c r="N99" s="78"/>
      <c r="O99" s="34"/>
      <c r="P99" s="25"/>
    </row>
    <row r="100" spans="2:16" x14ac:dyDescent="0.2">
      <c r="B100" s="21"/>
      <c r="C100" s="34"/>
      <c r="D100" s="36"/>
      <c r="E100" s="34"/>
      <c r="F100" s="182"/>
      <c r="G100" s="182"/>
      <c r="H100" s="518">
        <f t="shared" ref="H100:M100" si="28">H88+H97</f>
        <v>0</v>
      </c>
      <c r="I100" s="518">
        <f t="shared" si="28"/>
        <v>0</v>
      </c>
      <c r="J100" s="518">
        <f t="shared" si="28"/>
        <v>0</v>
      </c>
      <c r="K100" s="518">
        <f t="shared" si="28"/>
        <v>0</v>
      </c>
      <c r="L100" s="518">
        <f t="shared" si="28"/>
        <v>0</v>
      </c>
      <c r="M100" s="518">
        <f t="shared" si="28"/>
        <v>0</v>
      </c>
      <c r="N100" s="518">
        <f>N88+N97</f>
        <v>0</v>
      </c>
      <c r="O100" s="34"/>
      <c r="P100" s="25"/>
    </row>
    <row r="101" spans="2:16" x14ac:dyDescent="0.2">
      <c r="B101" s="21"/>
      <c r="C101" s="34"/>
      <c r="D101" s="36"/>
      <c r="E101" s="34"/>
      <c r="F101" s="182"/>
      <c r="G101" s="182"/>
      <c r="H101" s="182"/>
      <c r="I101" s="182"/>
      <c r="J101" s="182"/>
      <c r="K101" s="182"/>
      <c r="L101" s="182"/>
      <c r="M101" s="182"/>
      <c r="N101" s="182"/>
      <c r="O101" s="34"/>
      <c r="P101" s="25"/>
    </row>
    <row r="102" spans="2:16" x14ac:dyDescent="0.2">
      <c r="B102" s="21"/>
      <c r="C102" s="178"/>
      <c r="D102" s="214"/>
      <c r="E102" s="178"/>
      <c r="F102" s="179"/>
      <c r="G102" s="179"/>
      <c r="H102" s="179"/>
      <c r="I102" s="179"/>
      <c r="J102" s="179"/>
      <c r="K102" s="179"/>
      <c r="L102" s="179"/>
      <c r="M102" s="179"/>
      <c r="N102" s="179"/>
      <c r="O102" s="178"/>
      <c r="P102" s="25"/>
    </row>
    <row r="103" spans="2:16" x14ac:dyDescent="0.2">
      <c r="B103" s="21"/>
      <c r="C103" s="34"/>
      <c r="D103" s="36"/>
      <c r="E103" s="34"/>
      <c r="F103" s="182"/>
      <c r="G103" s="182"/>
      <c r="H103" s="182"/>
      <c r="I103" s="182"/>
      <c r="J103" s="182"/>
      <c r="K103" s="182"/>
      <c r="L103" s="182"/>
      <c r="M103" s="182"/>
      <c r="N103" s="182"/>
      <c r="O103" s="34"/>
      <c r="P103" s="25"/>
    </row>
    <row r="104" spans="2:16" x14ac:dyDescent="0.2">
      <c r="B104" s="21"/>
      <c r="C104" s="34"/>
      <c r="D104" s="36" t="s">
        <v>171</v>
      </c>
      <c r="E104" s="34"/>
      <c r="F104" s="182"/>
      <c r="G104" s="182"/>
      <c r="H104" s="518">
        <f t="shared" ref="H104:M104" si="29">H52+H76+H100</f>
        <v>0</v>
      </c>
      <c r="I104" s="518">
        <f t="shared" si="29"/>
        <v>19071297.399045512</v>
      </c>
      <c r="J104" s="518">
        <f t="shared" si="29"/>
        <v>18654960.760734603</v>
      </c>
      <c r="K104" s="518">
        <f t="shared" si="29"/>
        <v>19127337.8835494</v>
      </c>
      <c r="L104" s="518">
        <f t="shared" si="29"/>
        <v>19127337.8835494</v>
      </c>
      <c r="M104" s="518">
        <f t="shared" si="29"/>
        <v>19127337.8835494</v>
      </c>
      <c r="N104" s="518">
        <f>N52+N76+N100</f>
        <v>19127337.883549396</v>
      </c>
      <c r="O104" s="34"/>
      <c r="P104" s="25"/>
    </row>
    <row r="105" spans="2:16" x14ac:dyDescent="0.2">
      <c r="B105" s="21"/>
      <c r="C105" s="34"/>
      <c r="D105" s="36"/>
      <c r="E105" s="34"/>
      <c r="F105" s="182"/>
      <c r="G105" s="182"/>
      <c r="H105" s="182"/>
      <c r="I105" s="182"/>
      <c r="J105" s="182"/>
      <c r="K105" s="182"/>
      <c r="L105" s="182"/>
      <c r="M105" s="182"/>
      <c r="N105" s="182"/>
      <c r="O105" s="34"/>
      <c r="P105" s="25"/>
    </row>
    <row r="106" spans="2:16" x14ac:dyDescent="0.2">
      <c r="B106" s="21"/>
      <c r="C106" s="178"/>
      <c r="D106" s="214"/>
      <c r="E106" s="178"/>
      <c r="F106" s="179"/>
      <c r="G106" s="179"/>
      <c r="H106" s="179"/>
      <c r="I106" s="179"/>
      <c r="J106" s="179"/>
      <c r="K106" s="179"/>
      <c r="L106" s="179"/>
      <c r="M106" s="179"/>
      <c r="N106" s="179"/>
      <c r="O106" s="178"/>
      <c r="P106" s="25"/>
    </row>
    <row r="107" spans="2:16" x14ac:dyDescent="0.2">
      <c r="B107" s="180"/>
      <c r="C107" s="201"/>
      <c r="D107" s="215"/>
      <c r="E107" s="201"/>
      <c r="F107" s="202"/>
      <c r="G107" s="1242"/>
      <c r="H107" s="202"/>
      <c r="I107" s="202"/>
      <c r="J107" s="202"/>
      <c r="K107" s="202"/>
      <c r="L107" s="202"/>
      <c r="M107" s="1348"/>
      <c r="N107" s="1348"/>
      <c r="O107" s="201"/>
      <c r="P107" s="181"/>
    </row>
    <row r="108" spans="2:16" x14ac:dyDescent="0.2">
      <c r="B108" s="18"/>
      <c r="C108" s="203"/>
      <c r="D108" s="216"/>
      <c r="E108" s="203"/>
      <c r="F108" s="204"/>
      <c r="G108" s="204"/>
      <c r="H108" s="204"/>
      <c r="I108" s="204"/>
      <c r="J108" s="204"/>
      <c r="K108" s="204"/>
      <c r="L108" s="204"/>
      <c r="M108" s="204"/>
      <c r="N108" s="204"/>
      <c r="O108" s="203"/>
      <c r="P108" s="20"/>
    </row>
    <row r="109" spans="2:16" x14ac:dyDescent="0.2">
      <c r="B109" s="21"/>
      <c r="C109" s="178"/>
      <c r="D109" s="214"/>
      <c r="E109" s="178"/>
      <c r="F109" s="179"/>
      <c r="G109" s="179"/>
      <c r="H109" s="219"/>
      <c r="I109" s="219"/>
      <c r="J109" s="219"/>
      <c r="K109" s="219"/>
      <c r="L109" s="219"/>
      <c r="M109" s="219"/>
      <c r="N109" s="219"/>
      <c r="O109" s="178"/>
      <c r="P109" s="25"/>
    </row>
    <row r="110" spans="2:16" x14ac:dyDescent="0.2">
      <c r="B110" s="21"/>
      <c r="C110" s="178"/>
      <c r="D110" s="214"/>
      <c r="E110" s="178"/>
      <c r="F110" s="179"/>
      <c r="G110" s="179"/>
      <c r="H110" s="559">
        <f t="shared" ref="H110:M110" si="30">H8</f>
        <v>2019</v>
      </c>
      <c r="I110" s="559">
        <f t="shared" si="30"/>
        <v>2020</v>
      </c>
      <c r="J110" s="559">
        <f t="shared" si="30"/>
        <v>2021</v>
      </c>
      <c r="K110" s="559">
        <f t="shared" si="30"/>
        <v>2022</v>
      </c>
      <c r="L110" s="559">
        <f t="shared" si="30"/>
        <v>2023</v>
      </c>
      <c r="M110" s="559">
        <f t="shared" si="30"/>
        <v>2024</v>
      </c>
      <c r="N110" s="559">
        <f>N8</f>
        <v>2025</v>
      </c>
      <c r="O110" s="178"/>
      <c r="P110" s="25"/>
    </row>
    <row r="111" spans="2:16" x14ac:dyDescent="0.2">
      <c r="B111" s="21"/>
      <c r="C111" s="178"/>
      <c r="D111" s="214"/>
      <c r="E111" s="178"/>
      <c r="F111" s="179"/>
      <c r="G111" s="179"/>
      <c r="H111" s="179"/>
      <c r="I111" s="179"/>
      <c r="J111" s="179"/>
      <c r="K111" s="179"/>
      <c r="L111" s="179"/>
      <c r="M111" s="179"/>
      <c r="N111" s="179"/>
      <c r="O111" s="178"/>
      <c r="P111" s="25"/>
    </row>
    <row r="112" spans="2:16" x14ac:dyDescent="0.2">
      <c r="B112" s="21"/>
      <c r="C112" s="34"/>
      <c r="D112" s="34"/>
      <c r="E112" s="34"/>
      <c r="F112" s="182"/>
      <c r="G112" s="842"/>
      <c r="H112" s="182"/>
      <c r="I112" s="182"/>
      <c r="J112" s="182"/>
      <c r="K112" s="182"/>
      <c r="L112" s="182"/>
      <c r="M112" s="182"/>
      <c r="N112" s="182"/>
      <c r="O112" s="34"/>
      <c r="P112" s="25"/>
    </row>
    <row r="113" spans="2:16" x14ac:dyDescent="0.2">
      <c r="B113" s="21"/>
      <c r="C113" s="34"/>
      <c r="D113" s="567" t="s">
        <v>20</v>
      </c>
      <c r="E113" s="34"/>
      <c r="F113" s="182"/>
      <c r="G113" s="842"/>
      <c r="H113" s="182"/>
      <c r="I113" s="182"/>
      <c r="J113" s="182"/>
      <c r="K113" s="182"/>
      <c r="L113" s="182"/>
      <c r="M113" s="182"/>
      <c r="N113" s="182"/>
      <c r="O113" s="34"/>
      <c r="P113" s="25"/>
    </row>
    <row r="114" spans="2:16" x14ac:dyDescent="0.2">
      <c r="B114" s="21"/>
      <c r="C114" s="34"/>
      <c r="D114" s="36"/>
      <c r="E114" s="34"/>
      <c r="F114" s="182"/>
      <c r="G114" s="842"/>
      <c r="H114" s="182"/>
      <c r="I114" s="182"/>
      <c r="J114" s="182"/>
      <c r="K114" s="182"/>
      <c r="L114" s="182"/>
      <c r="M114" s="182"/>
      <c r="N114" s="182"/>
      <c r="O114" s="34"/>
      <c r="P114" s="25"/>
    </row>
    <row r="115" spans="2:16" x14ac:dyDescent="0.2">
      <c r="B115" s="21"/>
      <c r="C115" s="34"/>
      <c r="D115" s="195"/>
      <c r="E115" s="34"/>
      <c r="F115" s="207" t="s">
        <v>212</v>
      </c>
      <c r="G115" s="1243"/>
      <c r="H115" s="182"/>
      <c r="I115" s="182"/>
      <c r="J115" s="182"/>
      <c r="K115" s="182"/>
      <c r="L115" s="182"/>
      <c r="M115" s="182"/>
      <c r="N115" s="182"/>
      <c r="O115" s="34"/>
      <c r="P115" s="25"/>
    </row>
    <row r="116" spans="2:16" x14ac:dyDescent="0.2">
      <c r="B116" s="21"/>
      <c r="C116" s="34"/>
      <c r="D116" s="195"/>
      <c r="E116" s="34"/>
      <c r="F116" s="182"/>
      <c r="G116" s="842"/>
      <c r="H116" s="182"/>
      <c r="I116" s="182"/>
      <c r="J116" s="182"/>
      <c r="K116" s="182"/>
      <c r="L116" s="182"/>
      <c r="M116" s="182"/>
      <c r="N116" s="182"/>
      <c r="O116" s="34"/>
      <c r="P116" s="25"/>
    </row>
    <row r="117" spans="2:16" x14ac:dyDescent="0.2">
      <c r="B117" s="21"/>
      <c r="C117" s="34"/>
      <c r="D117" s="34" t="s">
        <v>348</v>
      </c>
      <c r="E117" s="34"/>
      <c r="F117" s="42"/>
      <c r="G117" s="842"/>
      <c r="H117" s="521">
        <f>7/12*' sal SWV'!U35+5/12*' sal SWV'!U67</f>
        <v>70316.656666666677</v>
      </c>
      <c r="I117" s="521">
        <f>7/12*' sal SWV'!U67+5/12*' sal SWV'!U99</f>
        <v>76870.768333333341</v>
      </c>
      <c r="J117" s="521">
        <f>7/12*' sal SWV'!U99+5/12*' sal SWV'!U131</f>
        <v>82608.680000000008</v>
      </c>
      <c r="K117" s="521">
        <f>7/12*' sal SWV'!U131+5/12*' sal SWV'!U163</f>
        <v>88331.32</v>
      </c>
      <c r="L117" s="521">
        <f>7/12*' sal SWV'!U163+5/12*' sal SWV'!U195</f>
        <v>94548.300000000017</v>
      </c>
      <c r="M117" s="521">
        <f>7/12*' sal SWV'!U195+5/12*' sal SWV'!U227</f>
        <v>101242.68000000001</v>
      </c>
      <c r="N117" s="521" t="e">
        <f>7/12*' sal SWV'!U227+5/12*' sal SWV'!#REF!</f>
        <v>#REF!</v>
      </c>
      <c r="O117" s="6"/>
      <c r="P117" s="25"/>
    </row>
    <row r="118" spans="2:16" x14ac:dyDescent="0.2">
      <c r="B118" s="840"/>
      <c r="C118" s="34"/>
      <c r="D118" s="1539" t="s">
        <v>936</v>
      </c>
      <c r="E118" s="34"/>
      <c r="F118" s="42"/>
      <c r="G118" s="842"/>
      <c r="H118" s="1540"/>
      <c r="I118" s="521">
        <f>ken!G121*tab!G83</f>
        <v>0</v>
      </c>
      <c r="J118" s="1540"/>
      <c r="K118" s="1540"/>
      <c r="L118" s="1540"/>
      <c r="M118" s="1540"/>
      <c r="N118" s="1540"/>
      <c r="O118" s="6"/>
      <c r="P118" s="819"/>
    </row>
    <row r="119" spans="2:16" x14ac:dyDescent="0.2">
      <c r="B119" s="21"/>
      <c r="C119" s="34"/>
      <c r="D119" s="195"/>
      <c r="E119" s="34"/>
      <c r="F119" s="182"/>
      <c r="G119" s="842"/>
      <c r="H119" s="182"/>
      <c r="I119" s="182"/>
      <c r="J119" s="182"/>
      <c r="K119" s="182"/>
      <c r="L119" s="182"/>
      <c r="M119" s="182"/>
      <c r="N119" s="182"/>
      <c r="O119" s="34"/>
      <c r="P119" s="25"/>
    </row>
    <row r="120" spans="2:16" x14ac:dyDescent="0.2">
      <c r="B120" s="21"/>
      <c r="C120" s="34"/>
      <c r="D120" s="195" t="s">
        <v>41</v>
      </c>
      <c r="E120" s="34"/>
      <c r="F120" s="182"/>
      <c r="G120" s="915"/>
      <c r="H120" s="1007">
        <f t="shared" ref="H120:M120" si="31">H8</f>
        <v>2019</v>
      </c>
      <c r="I120" s="1007">
        <f t="shared" si="31"/>
        <v>2020</v>
      </c>
      <c r="J120" s="1007">
        <f t="shared" si="31"/>
        <v>2021</v>
      </c>
      <c r="K120" s="1007">
        <f t="shared" si="31"/>
        <v>2022</v>
      </c>
      <c r="L120" s="1007">
        <f t="shared" si="31"/>
        <v>2023</v>
      </c>
      <c r="M120" s="1007">
        <f t="shared" si="31"/>
        <v>2024</v>
      </c>
      <c r="N120" s="1007">
        <f>N8</f>
        <v>2025</v>
      </c>
      <c r="O120" s="34"/>
      <c r="P120" s="25"/>
    </row>
    <row r="121" spans="2:16" x14ac:dyDescent="0.2">
      <c r="B121" s="21"/>
      <c r="C121" s="34"/>
      <c r="D121" s="195"/>
      <c r="E121" s="34"/>
      <c r="F121" s="182"/>
      <c r="G121" s="842"/>
      <c r="H121" s="182"/>
      <c r="I121" s="182"/>
      <c r="J121" s="182"/>
      <c r="K121" s="182"/>
      <c r="L121" s="182"/>
      <c r="M121" s="182"/>
      <c r="N121" s="182"/>
      <c r="O121" s="34"/>
      <c r="P121" s="25"/>
    </row>
    <row r="122" spans="2:16" x14ac:dyDescent="0.2">
      <c r="B122" s="21"/>
      <c r="C122" s="34"/>
      <c r="D122" s="195" t="s">
        <v>741</v>
      </c>
      <c r="E122" s="34"/>
      <c r="F122" s="1003"/>
      <c r="G122" s="842"/>
      <c r="H122" s="843">
        <f>+'LWOO-PRO'!O11</f>
        <v>1534030.1600000001</v>
      </c>
      <c r="I122" s="843">
        <f>+'LWOO-PRO'!P11</f>
        <v>124862.92000000001</v>
      </c>
      <c r="J122" s="843">
        <f>+'LWOO-PRO'!Q11</f>
        <v>0</v>
      </c>
      <c r="K122" s="843">
        <f>+'LWOO-PRO'!R11</f>
        <v>0</v>
      </c>
      <c r="L122" s="843">
        <f>+'LWOO-PRO'!S11</f>
        <v>0</v>
      </c>
      <c r="M122" s="843">
        <f>+'LWOO-PRO'!T11</f>
        <v>0</v>
      </c>
      <c r="N122" s="843">
        <f>+'LWOO-PRO'!U11</f>
        <v>0</v>
      </c>
      <c r="O122" s="34"/>
      <c r="P122" s="819"/>
    </row>
    <row r="123" spans="2:16" x14ac:dyDescent="0.2">
      <c r="B123" s="21"/>
      <c r="C123" s="34"/>
      <c r="D123" s="195" t="s">
        <v>742</v>
      </c>
      <c r="E123" s="34"/>
      <c r="F123" s="1003"/>
      <c r="G123" s="842"/>
      <c r="H123" s="843">
        <f>+'LWOO-PRO'!O14</f>
        <v>1913078.31</v>
      </c>
      <c r="I123" s="843">
        <f>+'LWOO-PRO'!P14</f>
        <v>1881862.58</v>
      </c>
      <c r="J123" s="843">
        <f>+'LWOO-PRO'!Q14</f>
        <v>2135361.3600000003</v>
      </c>
      <c r="K123" s="843">
        <f>+'LWOO-PRO'!R14</f>
        <v>2195580.7199999997</v>
      </c>
      <c r="L123" s="843">
        <f>+'LWOO-PRO'!S14</f>
        <v>2195580.7199999997</v>
      </c>
      <c r="M123" s="843">
        <f>+'LWOO-PRO'!T14</f>
        <v>2195580.7199999997</v>
      </c>
      <c r="N123" s="843">
        <f>+'LWOO-PRO'!U14</f>
        <v>2195580.7199999997</v>
      </c>
      <c r="O123" s="34"/>
      <c r="P123" s="819"/>
    </row>
    <row r="124" spans="2:16" x14ac:dyDescent="0.2">
      <c r="B124" s="21"/>
      <c r="C124" s="34"/>
      <c r="D124" s="195" t="s">
        <v>743</v>
      </c>
      <c r="E124" s="34"/>
      <c r="F124" s="182"/>
      <c r="G124" s="842"/>
      <c r="H124" s="845">
        <f t="shared" ref="H124:M124" si="32">SUM(H122:H123)</f>
        <v>3447108.47</v>
      </c>
      <c r="I124" s="845">
        <f t="shared" si="32"/>
        <v>2006725.5</v>
      </c>
      <c r="J124" s="845">
        <f t="shared" si="32"/>
        <v>2135361.3600000003</v>
      </c>
      <c r="K124" s="845">
        <f t="shared" si="32"/>
        <v>2195580.7199999997</v>
      </c>
      <c r="L124" s="845">
        <f t="shared" si="32"/>
        <v>2195580.7199999997</v>
      </c>
      <c r="M124" s="845">
        <f t="shared" si="32"/>
        <v>2195580.7199999997</v>
      </c>
      <c r="N124" s="845">
        <f>SUM(N122:N123)</f>
        <v>2195580.7199999997</v>
      </c>
      <c r="O124" s="34"/>
      <c r="P124" s="819"/>
    </row>
    <row r="125" spans="2:16" x14ac:dyDescent="0.2">
      <c r="B125" s="21"/>
      <c r="C125" s="34"/>
      <c r="D125" s="37" t="s">
        <v>172</v>
      </c>
      <c r="E125" s="34"/>
      <c r="F125" s="182"/>
      <c r="G125" s="842"/>
      <c r="H125" s="182"/>
      <c r="I125" s="182"/>
      <c r="J125" s="182"/>
      <c r="K125" s="182"/>
      <c r="L125" s="182"/>
      <c r="M125" s="182"/>
      <c r="N125" s="182"/>
      <c r="O125" s="34"/>
      <c r="P125" s="25"/>
    </row>
    <row r="126" spans="2:16" x14ac:dyDescent="0.2">
      <c r="B126" s="21"/>
      <c r="C126" s="34"/>
      <c r="D126" s="187" t="s">
        <v>349</v>
      </c>
      <c r="E126" s="34"/>
      <c r="F126" s="42"/>
      <c r="G126" s="842"/>
      <c r="H126" s="516">
        <v>0</v>
      </c>
      <c r="I126" s="516">
        <f t="shared" ref="I126:I136" si="33">H126</f>
        <v>0</v>
      </c>
      <c r="J126" s="516">
        <f t="shared" ref="J126:J134" si="34">I126</f>
        <v>0</v>
      </c>
      <c r="K126" s="516">
        <f t="shared" ref="K126:K136" si="35">J126</f>
        <v>0</v>
      </c>
      <c r="L126" s="516">
        <f t="shared" ref="L126:N136" si="36">K126</f>
        <v>0</v>
      </c>
      <c r="M126" s="516">
        <f t="shared" si="36"/>
        <v>0</v>
      </c>
      <c r="N126" s="516">
        <f t="shared" si="36"/>
        <v>0</v>
      </c>
      <c r="O126" s="34"/>
      <c r="P126" s="25"/>
    </row>
    <row r="127" spans="2:16" x14ac:dyDescent="0.2">
      <c r="B127" s="21"/>
      <c r="C127" s="34"/>
      <c r="D127" s="618" t="s">
        <v>782</v>
      </c>
      <c r="E127" s="34"/>
      <c r="F127" s="42"/>
      <c r="G127" s="842"/>
      <c r="H127" s="516">
        <v>0</v>
      </c>
      <c r="I127" s="516">
        <f t="shared" si="33"/>
        <v>0</v>
      </c>
      <c r="J127" s="516">
        <f t="shared" si="34"/>
        <v>0</v>
      </c>
      <c r="K127" s="516">
        <f t="shared" si="35"/>
        <v>0</v>
      </c>
      <c r="L127" s="516">
        <f t="shared" si="36"/>
        <v>0</v>
      </c>
      <c r="M127" s="516">
        <f t="shared" si="36"/>
        <v>0</v>
      </c>
      <c r="N127" s="516">
        <f t="shared" si="36"/>
        <v>0</v>
      </c>
      <c r="O127" s="34"/>
      <c r="P127" s="25"/>
    </row>
    <row r="128" spans="2:16" x14ac:dyDescent="0.2">
      <c r="B128" s="21"/>
      <c r="C128" s="34"/>
      <c r="E128" s="34"/>
      <c r="F128" s="42"/>
      <c r="G128" s="842"/>
      <c r="H128" s="516">
        <v>0</v>
      </c>
      <c r="I128" s="516">
        <f t="shared" si="33"/>
        <v>0</v>
      </c>
      <c r="J128" s="516">
        <f t="shared" si="34"/>
        <v>0</v>
      </c>
      <c r="K128" s="516">
        <f t="shared" si="35"/>
        <v>0</v>
      </c>
      <c r="L128" s="516">
        <f t="shared" si="36"/>
        <v>0</v>
      </c>
      <c r="M128" s="516">
        <f t="shared" si="36"/>
        <v>0</v>
      </c>
      <c r="N128" s="516">
        <f t="shared" si="36"/>
        <v>0</v>
      </c>
      <c r="O128" s="34"/>
      <c r="P128" s="25"/>
    </row>
    <row r="129" spans="2:16" x14ac:dyDescent="0.2">
      <c r="B129" s="21"/>
      <c r="C129" s="34"/>
      <c r="D129" s="561"/>
      <c r="E129" s="34"/>
      <c r="F129" s="42"/>
      <c r="G129" s="842"/>
      <c r="H129" s="516">
        <v>0</v>
      </c>
      <c r="I129" s="516">
        <f t="shared" si="33"/>
        <v>0</v>
      </c>
      <c r="J129" s="516">
        <f t="shared" si="34"/>
        <v>0</v>
      </c>
      <c r="K129" s="516">
        <f t="shared" si="35"/>
        <v>0</v>
      </c>
      <c r="L129" s="516">
        <f t="shared" si="36"/>
        <v>0</v>
      </c>
      <c r="M129" s="516">
        <f t="shared" si="36"/>
        <v>0</v>
      </c>
      <c r="N129" s="516">
        <f t="shared" si="36"/>
        <v>0</v>
      </c>
      <c r="O129" s="34"/>
      <c r="P129" s="25"/>
    </row>
    <row r="130" spans="2:16" x14ac:dyDescent="0.2">
      <c r="B130" s="21"/>
      <c r="C130" s="34"/>
      <c r="D130" s="508"/>
      <c r="E130" s="34"/>
      <c r="F130" s="42"/>
      <c r="G130" s="842"/>
      <c r="H130" s="516">
        <v>0</v>
      </c>
      <c r="I130" s="516">
        <f t="shared" si="33"/>
        <v>0</v>
      </c>
      <c r="J130" s="516">
        <f t="shared" si="34"/>
        <v>0</v>
      </c>
      <c r="K130" s="516">
        <f t="shared" si="35"/>
        <v>0</v>
      </c>
      <c r="L130" s="516">
        <f t="shared" si="36"/>
        <v>0</v>
      </c>
      <c r="M130" s="516">
        <f t="shared" si="36"/>
        <v>0</v>
      </c>
      <c r="N130" s="516">
        <f t="shared" si="36"/>
        <v>0</v>
      </c>
      <c r="O130" s="34"/>
      <c r="P130" s="25"/>
    </row>
    <row r="131" spans="2:16" x14ac:dyDescent="0.2">
      <c r="B131" s="21"/>
      <c r="C131" s="34"/>
      <c r="D131" s="508"/>
      <c r="E131" s="34"/>
      <c r="F131" s="42"/>
      <c r="G131" s="842"/>
      <c r="H131" s="516">
        <v>0</v>
      </c>
      <c r="I131" s="516">
        <f t="shared" si="33"/>
        <v>0</v>
      </c>
      <c r="J131" s="516">
        <f t="shared" si="34"/>
        <v>0</v>
      </c>
      <c r="K131" s="516">
        <f t="shared" si="35"/>
        <v>0</v>
      </c>
      <c r="L131" s="516">
        <f t="shared" si="36"/>
        <v>0</v>
      </c>
      <c r="M131" s="516">
        <f t="shared" si="36"/>
        <v>0</v>
      </c>
      <c r="N131" s="516">
        <f t="shared" si="36"/>
        <v>0</v>
      </c>
      <c r="O131" s="34"/>
      <c r="P131" s="25"/>
    </row>
    <row r="132" spans="2:16" x14ac:dyDescent="0.2">
      <c r="B132" s="21"/>
      <c r="C132" s="34"/>
      <c r="D132" s="509"/>
      <c r="E132" s="34"/>
      <c r="F132" s="42"/>
      <c r="G132" s="842"/>
      <c r="H132" s="516">
        <v>0</v>
      </c>
      <c r="I132" s="516">
        <f t="shared" si="33"/>
        <v>0</v>
      </c>
      <c r="J132" s="516">
        <f t="shared" si="34"/>
        <v>0</v>
      </c>
      <c r="K132" s="516">
        <f t="shared" si="35"/>
        <v>0</v>
      </c>
      <c r="L132" s="516">
        <f t="shared" si="36"/>
        <v>0</v>
      </c>
      <c r="M132" s="516">
        <f t="shared" si="36"/>
        <v>0</v>
      </c>
      <c r="N132" s="516">
        <f t="shared" si="36"/>
        <v>0</v>
      </c>
      <c r="O132" s="34"/>
      <c r="P132" s="25"/>
    </row>
    <row r="133" spans="2:16" x14ac:dyDescent="0.2">
      <c r="B133" s="21"/>
      <c r="C133" s="34"/>
      <c r="D133" s="508"/>
      <c r="E133" s="34"/>
      <c r="F133" s="42"/>
      <c r="G133" s="842"/>
      <c r="H133" s="511">
        <v>0</v>
      </c>
      <c r="I133" s="511">
        <f t="shared" si="33"/>
        <v>0</v>
      </c>
      <c r="J133" s="511">
        <f t="shared" si="34"/>
        <v>0</v>
      </c>
      <c r="K133" s="511">
        <f t="shared" si="35"/>
        <v>0</v>
      </c>
      <c r="L133" s="511">
        <f t="shared" si="36"/>
        <v>0</v>
      </c>
      <c r="M133" s="511">
        <f t="shared" si="36"/>
        <v>0</v>
      </c>
      <c r="N133" s="511">
        <f t="shared" si="36"/>
        <v>0</v>
      </c>
      <c r="O133" s="34"/>
      <c r="P133" s="25"/>
    </row>
    <row r="134" spans="2:16" x14ac:dyDescent="0.2">
      <c r="B134" s="21"/>
      <c r="C134" s="34"/>
      <c r="D134" s="508"/>
      <c r="E134" s="34"/>
      <c r="F134" s="42"/>
      <c r="G134" s="842"/>
      <c r="H134" s="511">
        <v>0</v>
      </c>
      <c r="I134" s="511">
        <f t="shared" si="33"/>
        <v>0</v>
      </c>
      <c r="J134" s="511">
        <f t="shared" si="34"/>
        <v>0</v>
      </c>
      <c r="K134" s="511">
        <f t="shared" si="35"/>
        <v>0</v>
      </c>
      <c r="L134" s="511">
        <f t="shared" si="36"/>
        <v>0</v>
      </c>
      <c r="M134" s="511">
        <f t="shared" si="36"/>
        <v>0</v>
      </c>
      <c r="N134" s="511">
        <f t="shared" si="36"/>
        <v>0</v>
      </c>
      <c r="O134" s="34"/>
      <c r="P134" s="25"/>
    </row>
    <row r="135" spans="2:16" x14ac:dyDescent="0.2">
      <c r="B135" s="21"/>
      <c r="C135" s="34"/>
      <c r="D135" s="508"/>
      <c r="E135" s="34"/>
      <c r="F135" s="42"/>
      <c r="G135" s="842"/>
      <c r="H135" s="511">
        <v>0</v>
      </c>
      <c r="I135" s="511">
        <f t="shared" si="33"/>
        <v>0</v>
      </c>
      <c r="J135" s="511">
        <f>I135</f>
        <v>0</v>
      </c>
      <c r="K135" s="511">
        <f t="shared" si="35"/>
        <v>0</v>
      </c>
      <c r="L135" s="511">
        <f t="shared" si="36"/>
        <v>0</v>
      </c>
      <c r="M135" s="511">
        <f t="shared" si="36"/>
        <v>0</v>
      </c>
      <c r="N135" s="511">
        <f t="shared" si="36"/>
        <v>0</v>
      </c>
      <c r="O135" s="34"/>
      <c r="P135" s="25"/>
    </row>
    <row r="136" spans="2:16" x14ac:dyDescent="0.2">
      <c r="B136" s="21"/>
      <c r="C136" s="34"/>
      <c r="D136" s="508"/>
      <c r="E136" s="34"/>
      <c r="F136" s="42"/>
      <c r="G136" s="842"/>
      <c r="H136" s="511">
        <v>0</v>
      </c>
      <c r="I136" s="511">
        <f t="shared" si="33"/>
        <v>0</v>
      </c>
      <c r="J136" s="511">
        <f>I136</f>
        <v>0</v>
      </c>
      <c r="K136" s="511">
        <f t="shared" si="35"/>
        <v>0</v>
      </c>
      <c r="L136" s="511">
        <f t="shared" si="36"/>
        <v>0</v>
      </c>
      <c r="M136" s="511">
        <f t="shared" si="36"/>
        <v>0</v>
      </c>
      <c r="N136" s="511">
        <f t="shared" si="36"/>
        <v>0</v>
      </c>
      <c r="O136" s="34"/>
      <c r="P136" s="25"/>
    </row>
    <row r="137" spans="2:16" x14ac:dyDescent="0.2">
      <c r="B137" s="21"/>
      <c r="C137" s="34"/>
      <c r="D137" s="34"/>
      <c r="E137" s="34"/>
      <c r="F137" s="182"/>
      <c r="G137" s="842"/>
      <c r="H137" s="519">
        <f t="shared" ref="H137:M137" si="37">SUM(H124:H136)</f>
        <v>3447108.47</v>
      </c>
      <c r="I137" s="519">
        <f t="shared" si="37"/>
        <v>2006725.5</v>
      </c>
      <c r="J137" s="519">
        <f t="shared" si="37"/>
        <v>2135361.3600000003</v>
      </c>
      <c r="K137" s="519">
        <f t="shared" si="37"/>
        <v>2195580.7199999997</v>
      </c>
      <c r="L137" s="519">
        <f t="shared" si="37"/>
        <v>2195580.7199999997</v>
      </c>
      <c r="M137" s="519">
        <f t="shared" si="37"/>
        <v>2195580.7199999997</v>
      </c>
      <c r="N137" s="519">
        <f>SUM(N124:N136)</f>
        <v>2195580.7199999997</v>
      </c>
      <c r="O137" s="34"/>
      <c r="P137" s="25"/>
    </row>
    <row r="138" spans="2:16" x14ac:dyDescent="0.2">
      <c r="B138" s="21"/>
      <c r="C138" s="34"/>
      <c r="D138" s="513"/>
      <c r="E138" s="514"/>
      <c r="F138" s="515"/>
      <c r="G138" s="515"/>
      <c r="H138" s="515"/>
      <c r="I138" s="515"/>
      <c r="J138" s="515"/>
      <c r="K138" s="515"/>
      <c r="L138" s="515"/>
      <c r="M138" s="515"/>
      <c r="N138" s="515"/>
      <c r="O138" s="34"/>
      <c r="P138" s="25"/>
    </row>
    <row r="139" spans="2:16" x14ac:dyDescent="0.2">
      <c r="B139" s="21"/>
      <c r="C139" s="39"/>
      <c r="D139" s="1048"/>
      <c r="E139" s="1049"/>
      <c r="F139" s="1047"/>
      <c r="G139" s="1047"/>
      <c r="H139" s="1047"/>
      <c r="I139" s="1047"/>
      <c r="J139" s="1047"/>
      <c r="K139" s="1047"/>
      <c r="L139" s="1047"/>
      <c r="M139" s="1047"/>
      <c r="N139" s="1047"/>
      <c r="O139" s="39"/>
      <c r="P139" s="25"/>
    </row>
    <row r="140" spans="2:16" x14ac:dyDescent="0.2">
      <c r="B140" s="21"/>
      <c r="C140" s="187"/>
      <c r="D140" s="195" t="s">
        <v>42</v>
      </c>
      <c r="E140" s="187"/>
      <c r="F140" s="70"/>
      <c r="G140" s="1423">
        <f>5/12*(pers!I124+pers!I144+pers!I144+pers!I148)+7/12*(pers!J124+pers!J144+pers!J144+pers!J148)+5/12*(mat!K141+mat!K157)+7/12*(mat!L141+mat!L157)</f>
        <v>15413625.577500001</v>
      </c>
      <c r="H140" s="1007">
        <f t="shared" ref="H140:M140" si="38">+H8</f>
        <v>2019</v>
      </c>
      <c r="I140" s="1007">
        <f t="shared" si="38"/>
        <v>2020</v>
      </c>
      <c r="J140" s="1007">
        <f t="shared" si="38"/>
        <v>2021</v>
      </c>
      <c r="K140" s="1007">
        <f t="shared" si="38"/>
        <v>2022</v>
      </c>
      <c r="L140" s="1007">
        <f t="shared" si="38"/>
        <v>2023</v>
      </c>
      <c r="M140" s="1007">
        <f t="shared" si="38"/>
        <v>2024</v>
      </c>
      <c r="N140" s="1007">
        <f>+N8</f>
        <v>2025</v>
      </c>
      <c r="O140" s="187"/>
      <c r="P140" s="25"/>
    </row>
    <row r="141" spans="2:16" x14ac:dyDescent="0.2">
      <c r="B141" s="21"/>
      <c r="C141" s="187"/>
      <c r="D141" s="37"/>
      <c r="E141" s="187"/>
      <c r="F141" s="70"/>
      <c r="G141" s="622"/>
      <c r="H141" s="70"/>
      <c r="I141" s="70"/>
      <c r="J141" s="70"/>
      <c r="K141" s="70"/>
      <c r="L141" s="70"/>
      <c r="M141" s="70"/>
      <c r="N141" s="70"/>
      <c r="O141" s="187"/>
      <c r="P141" s="25"/>
    </row>
    <row r="142" spans="2:16" x14ac:dyDescent="0.2">
      <c r="B142" s="21"/>
      <c r="C142" s="187"/>
      <c r="D142" s="187" t="s">
        <v>472</v>
      </c>
      <c r="E142" s="37"/>
      <c r="F142" s="1413"/>
      <c r="G142" s="622"/>
      <c r="H142" s="522">
        <f>'overdr VSO'!I15*7/12+'overdr VSO'!J15*5/12</f>
        <v>6112556.6783333328</v>
      </c>
      <c r="I142" s="522">
        <f>'overdr VSO'!J15*7/12+'overdr VSO'!K15*5/12</f>
        <v>6155086.0158333331</v>
      </c>
      <c r="J142" s="522">
        <f>'overdr VSO'!K15*7/12+'overdr VSO'!L15*5/12</f>
        <v>6344367.8808333334</v>
      </c>
      <c r="K142" s="522">
        <f>'overdr VSO'!L15*7/12+'overdr VSO'!M15*5/12</f>
        <v>6259105.5999999996</v>
      </c>
      <c r="L142" s="522">
        <f>'overdr VSO'!M15*7/12+'overdr VSO'!N15*5/12</f>
        <v>6259105.5999999996</v>
      </c>
      <c r="M142" s="522">
        <f>'overdr VSO'!N15*7/12+'overdr VSO'!O15*5/12</f>
        <v>6259105.5999999996</v>
      </c>
      <c r="N142" s="522">
        <f>'overdr VSO'!O15</f>
        <v>6259105.5999999996</v>
      </c>
      <c r="O142" s="109"/>
      <c r="P142" s="25"/>
    </row>
    <row r="143" spans="2:16" x14ac:dyDescent="0.2">
      <c r="B143" s="21"/>
      <c r="C143" s="187"/>
      <c r="D143" s="187" t="s">
        <v>473</v>
      </c>
      <c r="E143" s="37"/>
      <c r="F143" s="151"/>
      <c r="G143" s="622"/>
      <c r="H143" s="1230">
        <v>171806</v>
      </c>
      <c r="I143" s="1230">
        <v>196083.34</v>
      </c>
      <c r="J143" s="1230">
        <v>152837.31</v>
      </c>
      <c r="K143" s="1230">
        <v>152837.31</v>
      </c>
      <c r="L143" s="1230">
        <v>152837.31</v>
      </c>
      <c r="M143" s="1230">
        <v>152837.31</v>
      </c>
      <c r="N143" s="1230">
        <v>152837.31</v>
      </c>
      <c r="O143" s="187"/>
      <c r="P143" s="25"/>
    </row>
    <row r="144" spans="2:16" x14ac:dyDescent="0.2">
      <c r="B144" s="21"/>
      <c r="C144" s="187"/>
      <c r="D144" s="187" t="s">
        <v>474</v>
      </c>
      <c r="E144" s="37"/>
      <c r="F144" s="151"/>
      <c r="G144" s="622"/>
      <c r="H144" s="796">
        <f t="shared" ref="H144:N144" si="39">SUM(H142:H143)</f>
        <v>6284362.6783333328</v>
      </c>
      <c r="I144" s="796">
        <f t="shared" si="39"/>
        <v>6351169.355833333</v>
      </c>
      <c r="J144" s="796">
        <f t="shared" si="39"/>
        <v>6497205.1908333329</v>
      </c>
      <c r="K144" s="796">
        <f t="shared" si="39"/>
        <v>6411942.9099999992</v>
      </c>
      <c r="L144" s="796">
        <f t="shared" si="39"/>
        <v>6411942.9099999992</v>
      </c>
      <c r="M144" s="796">
        <f t="shared" si="39"/>
        <v>6411942.9099999992</v>
      </c>
      <c r="N144" s="796">
        <f t="shared" si="39"/>
        <v>6411942.9099999992</v>
      </c>
      <c r="O144" s="187"/>
      <c r="P144" s="25"/>
    </row>
    <row r="145" spans="2:16" x14ac:dyDescent="0.2">
      <c r="B145" s="21"/>
      <c r="C145" s="187"/>
      <c r="D145" s="618"/>
      <c r="E145" s="620"/>
      <c r="F145" s="622"/>
      <c r="G145" s="622"/>
      <c r="H145" s="797"/>
      <c r="I145" s="797"/>
      <c r="J145" s="797"/>
      <c r="K145" s="797"/>
      <c r="L145" s="797"/>
      <c r="M145" s="797"/>
      <c r="N145" s="797"/>
      <c r="O145" s="187"/>
      <c r="P145" s="25"/>
    </row>
    <row r="146" spans="2:16" x14ac:dyDescent="0.2">
      <c r="B146" s="21"/>
      <c r="C146" s="187"/>
      <c r="D146" s="187" t="s">
        <v>349</v>
      </c>
      <c r="E146" s="187"/>
      <c r="F146" s="151"/>
      <c r="G146" s="622"/>
      <c r="H146" s="517">
        <v>0</v>
      </c>
      <c r="I146" s="517">
        <f t="shared" ref="I146:J150" si="40">H146</f>
        <v>0</v>
      </c>
      <c r="J146" s="517">
        <v>0</v>
      </c>
      <c r="K146" s="517">
        <f t="shared" ref="K146:K157" si="41">J146</f>
        <v>0</v>
      </c>
      <c r="L146" s="517">
        <f t="shared" ref="L146:N147" si="42">K146</f>
        <v>0</v>
      </c>
      <c r="M146" s="517">
        <f t="shared" si="42"/>
        <v>0</v>
      </c>
      <c r="N146" s="517">
        <f t="shared" si="42"/>
        <v>0</v>
      </c>
      <c r="O146" s="187"/>
      <c r="P146" s="25"/>
    </row>
    <row r="147" spans="2:16" x14ac:dyDescent="0.2">
      <c r="B147" s="21"/>
      <c r="C147" s="187"/>
      <c r="D147" s="682" t="s">
        <v>775</v>
      </c>
      <c r="E147" s="187"/>
      <c r="F147" s="151"/>
      <c r="G147" s="622"/>
      <c r="H147" s="1335">
        <v>0</v>
      </c>
      <c r="I147" s="1335">
        <f>H147</f>
        <v>0</v>
      </c>
      <c r="J147" s="1335">
        <f t="shared" si="40"/>
        <v>0</v>
      </c>
      <c r="K147" s="1335">
        <f t="shared" si="41"/>
        <v>0</v>
      </c>
      <c r="L147" s="1335">
        <f t="shared" si="42"/>
        <v>0</v>
      </c>
      <c r="M147" s="1335">
        <f t="shared" si="42"/>
        <v>0</v>
      </c>
      <c r="N147" s="1335">
        <f t="shared" si="42"/>
        <v>0</v>
      </c>
      <c r="O147" s="187"/>
      <c r="P147" s="819"/>
    </row>
    <row r="148" spans="2:16" x14ac:dyDescent="0.2">
      <c r="B148" s="21"/>
      <c r="C148" s="187"/>
      <c r="D148" s="618" t="s">
        <v>782</v>
      </c>
      <c r="E148" s="187"/>
      <c r="F148" s="151"/>
      <c r="G148" s="622"/>
      <c r="H148" s="517">
        <v>0</v>
      </c>
      <c r="I148" s="517">
        <f t="shared" si="40"/>
        <v>0</v>
      </c>
      <c r="J148" s="517">
        <f t="shared" si="40"/>
        <v>0</v>
      </c>
      <c r="K148" s="517">
        <f t="shared" si="41"/>
        <v>0</v>
      </c>
      <c r="L148" s="517">
        <f t="shared" ref="L148:N150" si="43">K148</f>
        <v>0</v>
      </c>
      <c r="M148" s="517">
        <f t="shared" si="43"/>
        <v>0</v>
      </c>
      <c r="N148" s="517">
        <f t="shared" si="43"/>
        <v>0</v>
      </c>
      <c r="O148" s="187"/>
      <c r="P148" s="25"/>
    </row>
    <row r="149" spans="2:16" x14ac:dyDescent="0.2">
      <c r="B149" s="21"/>
      <c r="C149" s="187"/>
      <c r="D149" s="561"/>
      <c r="E149" s="187"/>
      <c r="F149" s="151"/>
      <c r="G149" s="622"/>
      <c r="H149" s="517">
        <v>0</v>
      </c>
      <c r="I149" s="517">
        <f t="shared" si="40"/>
        <v>0</v>
      </c>
      <c r="J149" s="517">
        <f t="shared" si="40"/>
        <v>0</v>
      </c>
      <c r="K149" s="517">
        <f t="shared" si="41"/>
        <v>0</v>
      </c>
      <c r="L149" s="517">
        <f t="shared" si="43"/>
        <v>0</v>
      </c>
      <c r="M149" s="517">
        <f t="shared" si="43"/>
        <v>0</v>
      </c>
      <c r="N149" s="517">
        <f t="shared" si="43"/>
        <v>0</v>
      </c>
      <c r="O149" s="187"/>
      <c r="P149" s="25"/>
    </row>
    <row r="150" spans="2:16" x14ac:dyDescent="0.2">
      <c r="B150" s="21"/>
      <c r="C150" s="187"/>
      <c r="D150" s="509"/>
      <c r="E150" s="187"/>
      <c r="F150" s="151"/>
      <c r="G150" s="622"/>
      <c r="H150" s="517">
        <v>0</v>
      </c>
      <c r="I150" s="517">
        <f t="shared" si="40"/>
        <v>0</v>
      </c>
      <c r="J150" s="517">
        <f t="shared" si="40"/>
        <v>0</v>
      </c>
      <c r="K150" s="517">
        <f t="shared" si="41"/>
        <v>0</v>
      </c>
      <c r="L150" s="517">
        <f t="shared" si="43"/>
        <v>0</v>
      </c>
      <c r="M150" s="517">
        <f t="shared" si="43"/>
        <v>0</v>
      </c>
      <c r="N150" s="517">
        <f t="shared" si="43"/>
        <v>0</v>
      </c>
      <c r="O150" s="187"/>
      <c r="P150" s="25"/>
    </row>
    <row r="151" spans="2:16" x14ac:dyDescent="0.2">
      <c r="B151" s="840"/>
      <c r="C151" s="187"/>
      <c r="D151" s="509"/>
      <c r="E151" s="187"/>
      <c r="F151" s="151"/>
      <c r="G151" s="622"/>
      <c r="H151" s="517">
        <v>0</v>
      </c>
      <c r="I151" s="517">
        <f t="shared" ref="I151:N154" si="44">H151</f>
        <v>0</v>
      </c>
      <c r="J151" s="517">
        <f t="shared" si="44"/>
        <v>0</v>
      </c>
      <c r="K151" s="517">
        <f t="shared" si="44"/>
        <v>0</v>
      </c>
      <c r="L151" s="517">
        <f t="shared" si="44"/>
        <v>0</v>
      </c>
      <c r="M151" s="517">
        <f t="shared" si="44"/>
        <v>0</v>
      </c>
      <c r="N151" s="517">
        <f t="shared" si="44"/>
        <v>0</v>
      </c>
      <c r="O151" s="187"/>
      <c r="P151" s="25"/>
    </row>
    <row r="152" spans="2:16" x14ac:dyDescent="0.2">
      <c r="B152" s="21"/>
      <c r="C152" s="187"/>
      <c r="D152" s="509"/>
      <c r="E152" s="187"/>
      <c r="F152" s="151"/>
      <c r="G152" s="622"/>
      <c r="H152" s="66">
        <v>0</v>
      </c>
      <c r="I152" s="66">
        <f t="shared" si="44"/>
        <v>0</v>
      </c>
      <c r="J152" s="66">
        <f t="shared" si="44"/>
        <v>0</v>
      </c>
      <c r="K152" s="66">
        <f t="shared" si="44"/>
        <v>0</v>
      </c>
      <c r="L152" s="66">
        <f t="shared" si="44"/>
        <v>0</v>
      </c>
      <c r="M152" s="66">
        <f t="shared" si="44"/>
        <v>0</v>
      </c>
      <c r="N152" s="66">
        <f t="shared" si="44"/>
        <v>0</v>
      </c>
      <c r="O152" s="187"/>
      <c r="P152" s="25"/>
    </row>
    <row r="153" spans="2:16" x14ac:dyDescent="0.2">
      <c r="B153" s="21"/>
      <c r="C153" s="187"/>
      <c r="D153" s="509"/>
      <c r="E153" s="187"/>
      <c r="F153" s="151"/>
      <c r="G153" s="622"/>
      <c r="H153" s="66">
        <v>0</v>
      </c>
      <c r="I153" s="66">
        <f t="shared" si="44"/>
        <v>0</v>
      </c>
      <c r="J153" s="66">
        <f t="shared" si="44"/>
        <v>0</v>
      </c>
      <c r="K153" s="66">
        <f t="shared" si="44"/>
        <v>0</v>
      </c>
      <c r="L153" s="66">
        <f t="shared" si="44"/>
        <v>0</v>
      </c>
      <c r="M153" s="66">
        <f t="shared" si="44"/>
        <v>0</v>
      </c>
      <c r="N153" s="66">
        <f t="shared" si="44"/>
        <v>0</v>
      </c>
      <c r="O153" s="187"/>
      <c r="P153" s="25"/>
    </row>
    <row r="154" spans="2:16" x14ac:dyDescent="0.2">
      <c r="B154" s="21"/>
      <c r="C154" s="187"/>
      <c r="D154" s="509"/>
      <c r="E154" s="187"/>
      <c r="F154" s="151"/>
      <c r="G154" s="622"/>
      <c r="H154" s="66">
        <v>0</v>
      </c>
      <c r="I154" s="66">
        <f t="shared" si="44"/>
        <v>0</v>
      </c>
      <c r="J154" s="66">
        <f t="shared" si="44"/>
        <v>0</v>
      </c>
      <c r="K154" s="66">
        <f t="shared" si="44"/>
        <v>0</v>
      </c>
      <c r="L154" s="66">
        <f t="shared" si="44"/>
        <v>0</v>
      </c>
      <c r="M154" s="66">
        <f t="shared" si="44"/>
        <v>0</v>
      </c>
      <c r="N154" s="66">
        <f t="shared" si="44"/>
        <v>0</v>
      </c>
      <c r="O154" s="187"/>
      <c r="P154" s="25"/>
    </row>
    <row r="155" spans="2:16" x14ac:dyDescent="0.2">
      <c r="B155" s="21"/>
      <c r="C155" s="187"/>
      <c r="D155" s="509"/>
      <c r="E155" s="187"/>
      <c r="F155" s="151"/>
      <c r="G155" s="622"/>
      <c r="H155" s="66">
        <v>0</v>
      </c>
      <c r="I155" s="66">
        <f t="shared" ref="I155:J157" si="45">H155</f>
        <v>0</v>
      </c>
      <c r="J155" s="66">
        <f t="shared" si="45"/>
        <v>0</v>
      </c>
      <c r="K155" s="66">
        <f t="shared" si="41"/>
        <v>0</v>
      </c>
      <c r="L155" s="66">
        <f t="shared" ref="L155:N157" si="46">K155</f>
        <v>0</v>
      </c>
      <c r="M155" s="66">
        <f t="shared" si="46"/>
        <v>0</v>
      </c>
      <c r="N155" s="66">
        <f t="shared" si="46"/>
        <v>0</v>
      </c>
      <c r="O155" s="187"/>
      <c r="P155" s="25"/>
    </row>
    <row r="156" spans="2:16" x14ac:dyDescent="0.2">
      <c r="B156" s="21"/>
      <c r="C156" s="187"/>
      <c r="D156" s="509"/>
      <c r="E156" s="187"/>
      <c r="F156" s="151"/>
      <c r="G156" s="622"/>
      <c r="H156" s="66">
        <v>0</v>
      </c>
      <c r="I156" s="66">
        <f t="shared" si="45"/>
        <v>0</v>
      </c>
      <c r="J156" s="66">
        <f t="shared" si="45"/>
        <v>0</v>
      </c>
      <c r="K156" s="66">
        <f t="shared" si="41"/>
        <v>0</v>
      </c>
      <c r="L156" s="66">
        <f t="shared" si="46"/>
        <v>0</v>
      </c>
      <c r="M156" s="66">
        <f t="shared" si="46"/>
        <v>0</v>
      </c>
      <c r="N156" s="66">
        <f t="shared" si="46"/>
        <v>0</v>
      </c>
      <c r="O156" s="187"/>
      <c r="P156" s="25"/>
    </row>
    <row r="157" spans="2:16" x14ac:dyDescent="0.2">
      <c r="B157" s="21"/>
      <c r="C157" s="187"/>
      <c r="D157" s="509"/>
      <c r="E157" s="187"/>
      <c r="F157" s="151"/>
      <c r="G157" s="622"/>
      <c r="H157" s="66">
        <v>0</v>
      </c>
      <c r="I157" s="66">
        <f t="shared" si="45"/>
        <v>0</v>
      </c>
      <c r="J157" s="66">
        <f t="shared" si="45"/>
        <v>0</v>
      </c>
      <c r="K157" s="66">
        <f t="shared" si="41"/>
        <v>0</v>
      </c>
      <c r="L157" s="66">
        <f t="shared" si="46"/>
        <v>0</v>
      </c>
      <c r="M157" s="66">
        <f t="shared" si="46"/>
        <v>0</v>
      </c>
      <c r="N157" s="66">
        <f t="shared" si="46"/>
        <v>0</v>
      </c>
      <c r="O157" s="187"/>
      <c r="P157" s="25"/>
    </row>
    <row r="158" spans="2:16" x14ac:dyDescent="0.2">
      <c r="B158" s="21"/>
      <c r="C158" s="187"/>
      <c r="D158" s="187"/>
      <c r="E158" s="187"/>
      <c r="F158" s="70"/>
      <c r="G158" s="70"/>
      <c r="H158" s="520">
        <f t="shared" ref="H158:M158" si="47">SUM(H144:H157)</f>
        <v>6284362.6783333328</v>
      </c>
      <c r="I158" s="520">
        <f t="shared" si="47"/>
        <v>6351169.355833333</v>
      </c>
      <c r="J158" s="520">
        <f t="shared" si="47"/>
        <v>6497205.1908333329</v>
      </c>
      <c r="K158" s="520">
        <f t="shared" si="47"/>
        <v>6411942.9099999992</v>
      </c>
      <c r="L158" s="520">
        <f t="shared" si="47"/>
        <v>6411942.9099999992</v>
      </c>
      <c r="M158" s="520">
        <f t="shared" si="47"/>
        <v>6411942.9099999992</v>
      </c>
      <c r="N158" s="520">
        <f>SUM(N144:N157)</f>
        <v>6411942.9099999992</v>
      </c>
      <c r="O158" s="187"/>
      <c r="P158" s="25"/>
    </row>
    <row r="159" spans="2:16" x14ac:dyDescent="0.2">
      <c r="B159" s="21"/>
      <c r="C159" s="187"/>
      <c r="D159" s="513"/>
      <c r="E159" s="514"/>
      <c r="F159" s="515"/>
      <c r="G159" s="515"/>
      <c r="H159" s="515"/>
      <c r="I159" s="515"/>
      <c r="J159" s="515"/>
      <c r="K159" s="515"/>
      <c r="L159" s="515"/>
      <c r="M159" s="515"/>
      <c r="N159" s="515"/>
      <c r="O159" s="187"/>
      <c r="P159" s="25"/>
    </row>
    <row r="160" spans="2:16" x14ac:dyDescent="0.2">
      <c r="B160" s="21"/>
      <c r="C160" s="187"/>
      <c r="D160" s="808" t="s">
        <v>475</v>
      </c>
      <c r="E160" s="550"/>
      <c r="F160" s="551"/>
      <c r="G160" s="551"/>
      <c r="H160" s="551"/>
      <c r="I160" s="551"/>
      <c r="J160" s="551"/>
      <c r="K160" s="551"/>
      <c r="L160" s="551"/>
      <c r="M160" s="551"/>
      <c r="N160" s="551"/>
      <c r="O160" s="187"/>
      <c r="P160" s="25"/>
    </row>
    <row r="161" spans="2:16" x14ac:dyDescent="0.2">
      <c r="B161" s="21"/>
      <c r="C161" s="187"/>
      <c r="D161" s="195" t="s">
        <v>838</v>
      </c>
      <c r="E161" s="187"/>
      <c r="F161" s="70"/>
      <c r="G161" s="70"/>
      <c r="H161" s="70"/>
      <c r="I161" s="70"/>
      <c r="J161" s="70"/>
      <c r="K161" s="70"/>
      <c r="L161" s="70"/>
      <c r="M161" s="70"/>
      <c r="N161" s="70"/>
      <c r="O161" s="187"/>
      <c r="P161" s="25"/>
    </row>
    <row r="162" spans="2:16" x14ac:dyDescent="0.2">
      <c r="B162" s="21"/>
      <c r="C162" s="187"/>
      <c r="D162" s="561" t="s">
        <v>852</v>
      </c>
      <c r="E162" s="187"/>
      <c r="F162" s="151"/>
      <c r="G162" s="622"/>
      <c r="H162" s="809">
        <f>7/12*'programma''s'!H19+5/12*'programma''s'!I19</f>
        <v>12345</v>
      </c>
      <c r="I162" s="809">
        <f>7/12*'programma''s'!I19+5/12*'programma''s'!J19</f>
        <v>12345</v>
      </c>
      <c r="J162" s="809">
        <f>7/12*'programma''s'!J19+5/12*'programma''s'!K19</f>
        <v>12345</v>
      </c>
      <c r="K162" s="809">
        <f>7/12*'programma''s'!K19+5/12*'programma''s'!L19</f>
        <v>12345</v>
      </c>
      <c r="L162" s="809">
        <f>7/12*'programma''s'!L19+5/12*'programma''s'!M19</f>
        <v>12345</v>
      </c>
      <c r="M162" s="809">
        <f>7/12*'programma''s'!M19+5/12*'programma''s'!N19</f>
        <v>12345</v>
      </c>
      <c r="N162" s="809">
        <f>'programma''s'!N19</f>
        <v>12345</v>
      </c>
      <c r="O162" s="109"/>
      <c r="P162" s="25"/>
    </row>
    <row r="163" spans="2:16" x14ac:dyDescent="0.2">
      <c r="B163" s="21"/>
      <c r="C163" s="187"/>
      <c r="D163" s="561" t="s">
        <v>839</v>
      </c>
      <c r="E163" s="187"/>
      <c r="F163" s="151"/>
      <c r="G163" s="622"/>
      <c r="H163" s="809">
        <f>7/12*'programma''s'!H39+5/12*'programma''s'!I39</f>
        <v>0</v>
      </c>
      <c r="I163" s="809">
        <f>7/12*'programma''s'!I39+5/12*'programma''s'!J39</f>
        <v>0</v>
      </c>
      <c r="J163" s="809">
        <f>7/12*'programma''s'!J39+5/12*'programma''s'!K39</f>
        <v>0</v>
      </c>
      <c r="K163" s="809">
        <f>7/12*'programma''s'!K39+5/12*'programma''s'!L39</f>
        <v>0</v>
      </c>
      <c r="L163" s="809">
        <f>7/12*'programma''s'!L39+5/12*'programma''s'!M39</f>
        <v>0</v>
      </c>
      <c r="M163" s="809">
        <f>7/12*'programma''s'!M39+5/12*'programma''s'!N39</f>
        <v>0</v>
      </c>
      <c r="N163" s="809">
        <f>'programma''s'!N39</f>
        <v>0</v>
      </c>
      <c r="O163" s="109"/>
      <c r="P163" s="25"/>
    </row>
    <row r="164" spans="2:16" x14ac:dyDescent="0.2">
      <c r="B164" s="21"/>
      <c r="C164" s="187"/>
      <c r="D164" s="561" t="s">
        <v>840</v>
      </c>
      <c r="E164" s="187"/>
      <c r="F164" s="151"/>
      <c r="G164" s="622"/>
      <c r="H164" s="809">
        <f>7/12*'programma''s'!H59+5/12*'programma''s'!I59</f>
        <v>0</v>
      </c>
      <c r="I164" s="809">
        <f>7/12*'programma''s'!I59+5/12*'programma''s'!J59</f>
        <v>0</v>
      </c>
      <c r="J164" s="809">
        <f>7/12*'programma''s'!J59+5/12*'programma''s'!K59</f>
        <v>0</v>
      </c>
      <c r="K164" s="809">
        <f>7/12*'programma''s'!K59+5/12*'programma''s'!L59</f>
        <v>0</v>
      </c>
      <c r="L164" s="809">
        <f>7/12*'programma''s'!L59+5/12*'programma''s'!M59</f>
        <v>0</v>
      </c>
      <c r="M164" s="809">
        <f>7/12*'programma''s'!M59+5/12*'programma''s'!N59</f>
        <v>0</v>
      </c>
      <c r="N164" s="809">
        <f>'programma''s'!N59</f>
        <v>0</v>
      </c>
      <c r="O164" s="109"/>
      <c r="P164" s="25"/>
    </row>
    <row r="165" spans="2:16" x14ac:dyDescent="0.2">
      <c r="B165" s="21"/>
      <c r="C165" s="187"/>
      <c r="D165" s="561" t="s">
        <v>841</v>
      </c>
      <c r="E165" s="187"/>
      <c r="F165" s="151"/>
      <c r="G165" s="622"/>
      <c r="H165" s="809">
        <f>7/12*'programma''s'!H79+5/12*'programma''s'!I79</f>
        <v>0</v>
      </c>
      <c r="I165" s="809">
        <f>7/12*'programma''s'!I79+5/12*'programma''s'!J79</f>
        <v>0</v>
      </c>
      <c r="J165" s="809">
        <f>7/12*'programma''s'!J79+5/12*'programma''s'!K79</f>
        <v>0</v>
      </c>
      <c r="K165" s="809">
        <f>7/12*'programma''s'!K79+5/12*'programma''s'!L79</f>
        <v>0</v>
      </c>
      <c r="L165" s="809">
        <f>7/12*'programma''s'!L79+5/12*'programma''s'!M79</f>
        <v>0</v>
      </c>
      <c r="M165" s="809">
        <f>7/12*'programma''s'!M79+5/12*'programma''s'!N79</f>
        <v>0</v>
      </c>
      <c r="N165" s="809">
        <f>'programma''s'!N79</f>
        <v>0</v>
      </c>
      <c r="O165" s="109"/>
      <c r="P165" s="25"/>
    </row>
    <row r="166" spans="2:16" x14ac:dyDescent="0.2">
      <c r="B166" s="21"/>
      <c r="C166" s="187"/>
      <c r="D166" s="561" t="s">
        <v>842</v>
      </c>
      <c r="E166" s="187"/>
      <c r="F166" s="151"/>
      <c r="G166" s="622"/>
      <c r="H166" s="809">
        <f>7/12*'programma''s'!H99+5/12*'programma''s'!I99</f>
        <v>0</v>
      </c>
      <c r="I166" s="809">
        <f>7/12*'programma''s'!I99+5/12*'programma''s'!J99</f>
        <v>0</v>
      </c>
      <c r="J166" s="809">
        <f>7/12*'programma''s'!J99+5/12*'programma''s'!K99</f>
        <v>0</v>
      </c>
      <c r="K166" s="809">
        <f>7/12*'programma''s'!K99+5/12*'programma''s'!L99</f>
        <v>0</v>
      </c>
      <c r="L166" s="809">
        <f>7/12*'programma''s'!L99+5/12*'programma''s'!M99</f>
        <v>0</v>
      </c>
      <c r="M166" s="809">
        <f>7/12*'programma''s'!M99+5/12*'programma''s'!N99</f>
        <v>0</v>
      </c>
      <c r="N166" s="809">
        <f>'programma''s'!N99</f>
        <v>0</v>
      </c>
      <c r="O166" s="109"/>
      <c r="P166" s="25"/>
    </row>
    <row r="167" spans="2:16" x14ac:dyDescent="0.2">
      <c r="B167" s="21"/>
      <c r="C167" s="187"/>
      <c r="D167" s="561" t="s">
        <v>843</v>
      </c>
      <c r="E167" s="187"/>
      <c r="F167" s="151"/>
      <c r="G167" s="622"/>
      <c r="H167" s="809">
        <f>7/12*'programma''s'!H122+5/12*'programma''s'!I122</f>
        <v>0</v>
      </c>
      <c r="I167" s="809">
        <f>7/12*'programma''s'!I122+5/12*'programma''s'!J122</f>
        <v>0</v>
      </c>
      <c r="J167" s="809">
        <f>7/12*'programma''s'!J122+5/12*'programma''s'!K122</f>
        <v>0</v>
      </c>
      <c r="K167" s="809">
        <f>7/12*'programma''s'!K122+5/12*'programma''s'!L122</f>
        <v>0</v>
      </c>
      <c r="L167" s="809">
        <f>7/12*'programma''s'!L122+5/12*'programma''s'!M122</f>
        <v>0</v>
      </c>
      <c r="M167" s="809">
        <f>7/12*'programma''s'!M122+5/12*'programma''s'!N122</f>
        <v>0</v>
      </c>
      <c r="N167" s="809">
        <f>'programma''s'!N122</f>
        <v>0</v>
      </c>
      <c r="O167" s="109"/>
      <c r="P167" s="25"/>
    </row>
    <row r="168" spans="2:16" x14ac:dyDescent="0.2">
      <c r="B168" s="21"/>
      <c r="C168" s="187"/>
      <c r="D168" s="561" t="s">
        <v>844</v>
      </c>
      <c r="E168" s="187"/>
      <c r="F168" s="151"/>
      <c r="G168" s="622"/>
      <c r="H168" s="809">
        <f>7/12*'programma''s'!H142+5/12*'programma''s'!I142</f>
        <v>0</v>
      </c>
      <c r="I168" s="809">
        <f>7/12*'programma''s'!I142+5/12*'programma''s'!J142</f>
        <v>0</v>
      </c>
      <c r="J168" s="809">
        <f>7/12*'programma''s'!J142+5/12*'programma''s'!K142</f>
        <v>0</v>
      </c>
      <c r="K168" s="809">
        <f>7/12*'programma''s'!K142+5/12*'programma''s'!L142</f>
        <v>0</v>
      </c>
      <c r="L168" s="809">
        <f>7/12*'programma''s'!L142+5/12*'programma''s'!M142</f>
        <v>0</v>
      </c>
      <c r="M168" s="809">
        <f>7/12*'programma''s'!M142+5/12*'programma''s'!N142</f>
        <v>0</v>
      </c>
      <c r="N168" s="809">
        <f>'programma''s'!N142</f>
        <v>0</v>
      </c>
      <c r="O168" s="109"/>
      <c r="P168" s="25"/>
    </row>
    <row r="169" spans="2:16" x14ac:dyDescent="0.2">
      <c r="B169" s="21"/>
      <c r="C169" s="187"/>
      <c r="D169" s="561" t="s">
        <v>845</v>
      </c>
      <c r="E169" s="187"/>
      <c r="F169" s="151"/>
      <c r="G169" s="622"/>
      <c r="H169" s="809">
        <f>7/12*'programma''s'!H162+5/12*'programma''s'!I162</f>
        <v>0</v>
      </c>
      <c r="I169" s="809">
        <f>7/12*'programma''s'!I162+5/12*'programma''s'!J162</f>
        <v>0</v>
      </c>
      <c r="J169" s="809">
        <f>7/12*'programma''s'!J162+5/12*'programma''s'!K162</f>
        <v>0</v>
      </c>
      <c r="K169" s="809">
        <f>7/12*'programma''s'!K162+5/12*'programma''s'!L162</f>
        <v>0</v>
      </c>
      <c r="L169" s="809">
        <f>7/12*'programma''s'!L162+5/12*'programma''s'!M162</f>
        <v>0</v>
      </c>
      <c r="M169" s="809">
        <f>7/12*'programma''s'!M162+5/12*'programma''s'!N162</f>
        <v>0</v>
      </c>
      <c r="N169" s="809">
        <f>'programma''s'!N162</f>
        <v>0</v>
      </c>
      <c r="O169" s="109"/>
      <c r="P169" s="25"/>
    </row>
    <row r="170" spans="2:16" x14ac:dyDescent="0.2">
      <c r="B170" s="21"/>
      <c r="C170" s="187"/>
      <c r="D170" s="561" t="s">
        <v>846</v>
      </c>
      <c r="E170" s="187"/>
      <c r="F170" s="151"/>
      <c r="G170" s="622"/>
      <c r="H170" s="809">
        <f>7/12*'programma''s'!H182+5/12*'programma''s'!I182</f>
        <v>0</v>
      </c>
      <c r="I170" s="809">
        <f>7/12*'programma''s'!I182+5/12*'programma''s'!J182</f>
        <v>0</v>
      </c>
      <c r="J170" s="809">
        <f>7/12*'programma''s'!J182+5/12*'programma''s'!K182</f>
        <v>0</v>
      </c>
      <c r="K170" s="809">
        <f>7/12*'programma''s'!K182+5/12*'programma''s'!L182</f>
        <v>0</v>
      </c>
      <c r="L170" s="809">
        <f>7/12*'programma''s'!L182+5/12*'programma''s'!M182</f>
        <v>0</v>
      </c>
      <c r="M170" s="809">
        <f>7/12*'programma''s'!M182+5/12*'programma''s'!N182</f>
        <v>0</v>
      </c>
      <c r="N170" s="809">
        <f>'programma''s'!N182</f>
        <v>0</v>
      </c>
      <c r="O170" s="109"/>
      <c r="P170" s="25"/>
    </row>
    <row r="171" spans="2:16" x14ac:dyDescent="0.2">
      <c r="B171" s="21"/>
      <c r="C171" s="187"/>
      <c r="D171" s="561" t="s">
        <v>847</v>
      </c>
      <c r="E171" s="187"/>
      <c r="F171" s="151"/>
      <c r="G171" s="622"/>
      <c r="H171" s="809">
        <f>7/12*'programma''s'!H202+5/12*'programma''s'!J202</f>
        <v>0</v>
      </c>
      <c r="I171" s="809">
        <f>7/12*'programma''s'!I202+5/12*'programma''s'!K202</f>
        <v>0</v>
      </c>
      <c r="J171" s="809">
        <f>7/12*'programma''s'!J202+5/12*'programma''s'!L202</f>
        <v>0</v>
      </c>
      <c r="K171" s="809">
        <f>7/12*'programma''s'!K202+5/12*'programma''s'!M202</f>
        <v>0</v>
      </c>
      <c r="L171" s="809">
        <f>7/12*'programma''s'!L202+5/12*'programma''s'!N202</f>
        <v>0</v>
      </c>
      <c r="M171" s="809">
        <f>7/12*'programma''s'!M202+5/12*'programma''s'!O202</f>
        <v>0</v>
      </c>
      <c r="N171" s="809">
        <f>'programma''s'!N202</f>
        <v>0</v>
      </c>
      <c r="O171" s="109"/>
      <c r="P171" s="25"/>
    </row>
    <row r="172" spans="2:16" x14ac:dyDescent="0.2">
      <c r="B172" s="21"/>
      <c r="C172" s="187"/>
      <c r="D172" s="187"/>
      <c r="E172" s="187"/>
      <c r="F172" s="70"/>
      <c r="G172" s="70"/>
      <c r="H172" s="520">
        <f>SUM(H162:H171)</f>
        <v>12345</v>
      </c>
      <c r="I172" s="520">
        <f t="shared" ref="I172:N172" si="48">SUM(I162:I171)</f>
        <v>12345</v>
      </c>
      <c r="J172" s="520">
        <f t="shared" si="48"/>
        <v>12345</v>
      </c>
      <c r="K172" s="520">
        <f t="shared" si="48"/>
        <v>12345</v>
      </c>
      <c r="L172" s="520">
        <f t="shared" si="48"/>
        <v>12345</v>
      </c>
      <c r="M172" s="520">
        <f t="shared" si="48"/>
        <v>12345</v>
      </c>
      <c r="N172" s="520">
        <f t="shared" si="48"/>
        <v>12345</v>
      </c>
      <c r="O172" s="187"/>
      <c r="P172" s="25"/>
    </row>
    <row r="173" spans="2:16" x14ac:dyDescent="0.2">
      <c r="B173" s="21"/>
      <c r="C173" s="34"/>
      <c r="D173" s="513"/>
      <c r="E173" s="514"/>
      <c r="F173" s="515"/>
      <c r="G173" s="515"/>
      <c r="H173" s="515"/>
      <c r="I173" s="515"/>
      <c r="J173" s="515"/>
      <c r="K173" s="515"/>
      <c r="L173" s="515"/>
      <c r="M173" s="515"/>
      <c r="N173" s="515"/>
      <c r="O173" s="34"/>
      <c r="P173" s="25"/>
    </row>
    <row r="174" spans="2:16" x14ac:dyDescent="0.2">
      <c r="B174" s="21"/>
      <c r="C174" s="34"/>
      <c r="D174" s="512"/>
      <c r="E174" s="485"/>
      <c r="F174" s="78"/>
      <c r="G174" s="1241"/>
      <c r="H174" s="78"/>
      <c r="I174" s="78"/>
      <c r="J174" s="78"/>
      <c r="K174" s="78"/>
      <c r="L174" s="78"/>
      <c r="M174" s="78"/>
      <c r="N174" s="78"/>
      <c r="O174" s="34"/>
      <c r="P174" s="25"/>
    </row>
    <row r="175" spans="2:16" x14ac:dyDescent="0.2">
      <c r="B175" s="21"/>
      <c r="C175" s="34"/>
      <c r="D175" s="36" t="s">
        <v>173</v>
      </c>
      <c r="E175" s="34"/>
      <c r="F175" s="182"/>
      <c r="G175" s="182"/>
      <c r="H175" s="519">
        <f t="shared" ref="H175" si="49">H117+I137+I158+I172</f>
        <v>8440556.5124999993</v>
      </c>
      <c r="I175" s="519">
        <f>I117+I118+I137+I158+I172</f>
        <v>8447110.6241666656</v>
      </c>
      <c r="J175" s="519">
        <f>J117+J137+J158+J172</f>
        <v>8727520.230833333</v>
      </c>
      <c r="K175" s="519">
        <f t="shared" ref="K175:N175" si="50">K117+K137+K158+K172</f>
        <v>8708199.9499999993</v>
      </c>
      <c r="L175" s="519">
        <f t="shared" si="50"/>
        <v>8714416.9299999997</v>
      </c>
      <c r="M175" s="519">
        <f t="shared" si="50"/>
        <v>8721111.3099999987</v>
      </c>
      <c r="N175" s="519" t="e">
        <f t="shared" si="50"/>
        <v>#REF!</v>
      </c>
      <c r="O175" s="6"/>
      <c r="P175" s="25"/>
    </row>
    <row r="176" spans="2:16" x14ac:dyDescent="0.2">
      <c r="B176" s="21"/>
      <c r="C176" s="34"/>
      <c r="D176" s="34"/>
      <c r="E176" s="34"/>
      <c r="F176" s="182"/>
      <c r="G176" s="182"/>
      <c r="H176" s="182"/>
      <c r="I176" s="182"/>
      <c r="J176" s="182"/>
      <c r="K176" s="182"/>
      <c r="L176" s="182"/>
      <c r="M176" s="182"/>
      <c r="N176" s="182"/>
      <c r="O176" s="34"/>
      <c r="P176" s="25"/>
    </row>
    <row r="177" spans="2:17" x14ac:dyDescent="0.2">
      <c r="B177" s="21"/>
      <c r="C177" s="178"/>
      <c r="D177" s="214"/>
      <c r="E177" s="178"/>
      <c r="F177" s="179"/>
      <c r="G177" s="179"/>
      <c r="H177" s="179"/>
      <c r="I177" s="179"/>
      <c r="J177" s="179"/>
      <c r="K177" s="179"/>
      <c r="L177" s="179"/>
      <c r="M177" s="179"/>
      <c r="N177" s="179"/>
      <c r="O177" s="178"/>
      <c r="P177" s="25"/>
    </row>
    <row r="178" spans="2:17" x14ac:dyDescent="0.2">
      <c r="B178" s="21"/>
      <c r="C178" s="178"/>
      <c r="D178" s="214"/>
      <c r="E178" s="178"/>
      <c r="F178" s="179"/>
      <c r="G178" s="179"/>
      <c r="H178" s="179"/>
      <c r="I178" s="179"/>
      <c r="J178" s="179"/>
      <c r="K178" s="179"/>
      <c r="L178" s="179"/>
      <c r="M178" s="179"/>
      <c r="N178" s="179"/>
      <c r="O178" s="178"/>
      <c r="P178" s="25"/>
    </row>
    <row r="179" spans="2:17" x14ac:dyDescent="0.2">
      <c r="B179" s="21"/>
      <c r="C179" s="34"/>
      <c r="D179" s="34"/>
      <c r="E179" s="34"/>
      <c r="F179" s="182"/>
      <c r="G179" s="182"/>
      <c r="H179" s="182"/>
      <c r="I179" s="182"/>
      <c r="J179" s="182"/>
      <c r="K179" s="182"/>
      <c r="L179" s="182"/>
      <c r="M179" s="182"/>
      <c r="N179" s="182"/>
      <c r="O179" s="34"/>
      <c r="P179" s="25"/>
    </row>
    <row r="180" spans="2:17" x14ac:dyDescent="0.2">
      <c r="B180" s="21"/>
      <c r="C180" s="34"/>
      <c r="D180" s="205" t="s">
        <v>174</v>
      </c>
      <c r="E180" s="34"/>
      <c r="F180" s="182"/>
      <c r="G180" s="182"/>
      <c r="H180" s="518">
        <f t="shared" ref="H180:M180" si="51">I104-H175</f>
        <v>10630740.886545513</v>
      </c>
      <c r="I180" s="518">
        <f t="shared" si="51"/>
        <v>10207850.136567937</v>
      </c>
      <c r="J180" s="518">
        <f t="shared" si="51"/>
        <v>10399817.652716067</v>
      </c>
      <c r="K180" s="518">
        <f t="shared" si="51"/>
        <v>10419137.9335494</v>
      </c>
      <c r="L180" s="518">
        <f t="shared" si="51"/>
        <v>10412920.9535494</v>
      </c>
      <c r="M180" s="518">
        <f t="shared" si="51"/>
        <v>10406226.573549397</v>
      </c>
      <c r="N180" s="518" t="e">
        <f>N104-N175</f>
        <v>#REF!</v>
      </c>
      <c r="O180" s="6"/>
      <c r="P180" s="25"/>
    </row>
    <row r="181" spans="2:17" x14ac:dyDescent="0.2">
      <c r="B181" s="21"/>
      <c r="C181" s="34"/>
      <c r="D181" s="34"/>
      <c r="E181" s="34"/>
      <c r="F181" s="182"/>
      <c r="G181" s="182"/>
      <c r="H181" s="182"/>
      <c r="I181" s="182"/>
      <c r="J181" s="182"/>
      <c r="K181" s="182"/>
      <c r="L181" s="182"/>
      <c r="M181" s="182"/>
      <c r="N181" s="182"/>
      <c r="O181" s="34"/>
      <c r="P181" s="25"/>
    </row>
    <row r="182" spans="2:17" x14ac:dyDescent="0.2">
      <c r="B182" s="21"/>
      <c r="C182" s="22"/>
      <c r="D182" s="22"/>
      <c r="E182" s="22"/>
      <c r="F182" s="24"/>
      <c r="G182" s="24"/>
      <c r="H182" s="24"/>
      <c r="I182" s="24"/>
      <c r="J182" s="24"/>
      <c r="K182" s="24"/>
      <c r="L182" s="24"/>
      <c r="M182" s="24"/>
      <c r="N182" s="24"/>
      <c r="O182" s="22"/>
      <c r="P182" s="25"/>
    </row>
    <row r="183" spans="2:17" x14ac:dyDescent="0.2">
      <c r="B183" s="840"/>
      <c r="C183" s="22"/>
      <c r="D183" s="22"/>
      <c r="E183" s="22"/>
      <c r="F183" s="24"/>
      <c r="G183" s="24"/>
      <c r="H183" s="864"/>
      <c r="I183" s="864"/>
      <c r="J183" s="864"/>
      <c r="K183" s="864"/>
      <c r="L183" s="864"/>
      <c r="M183" s="864"/>
      <c r="N183" s="864"/>
      <c r="O183" s="865" t="s">
        <v>378</v>
      </c>
      <c r="P183" s="25"/>
    </row>
    <row r="184" spans="2:17" x14ac:dyDescent="0.2">
      <c r="B184" s="852"/>
      <c r="C184" s="852"/>
      <c r="D184" s="852"/>
      <c r="E184" s="852"/>
      <c r="F184" s="915"/>
      <c r="G184" s="915"/>
      <c r="H184" s="917"/>
      <c r="I184" s="917"/>
      <c r="J184" s="917"/>
      <c r="K184" s="917"/>
      <c r="L184" s="917"/>
      <c r="M184" s="917"/>
      <c r="N184" s="917"/>
      <c r="O184" s="852"/>
      <c r="P184" s="852"/>
    </row>
    <row r="185" spans="2:17" ht="13.5" thickBot="1" x14ac:dyDescent="0.25">
      <c r="B185" s="852"/>
      <c r="C185" s="852"/>
      <c r="D185" s="852"/>
      <c r="E185" s="852"/>
      <c r="F185" s="915"/>
      <c r="G185" s="915"/>
      <c r="H185" s="917"/>
      <c r="I185" s="917"/>
      <c r="J185" s="917"/>
      <c r="K185" s="917"/>
      <c r="L185" s="917"/>
      <c r="M185" s="917"/>
      <c r="N185" s="917"/>
      <c r="O185" s="852"/>
      <c r="P185" s="852"/>
    </row>
    <row r="186" spans="2:17" ht="13.5" thickTop="1" x14ac:dyDescent="0.2">
      <c r="B186" s="852"/>
      <c r="C186" s="929"/>
      <c r="D186" s="930"/>
      <c r="E186" s="930"/>
      <c r="F186" s="931"/>
      <c r="G186" s="931"/>
      <c r="H186" s="931"/>
      <c r="I186" s="931"/>
      <c r="J186" s="931"/>
      <c r="K186" s="931"/>
      <c r="L186" s="931"/>
      <c r="M186" s="931"/>
      <c r="N186" s="931"/>
      <c r="O186" s="932"/>
      <c r="P186" s="852"/>
    </row>
    <row r="187" spans="2:17" x14ac:dyDescent="0.2">
      <c r="B187" s="852"/>
      <c r="C187" s="933"/>
      <c r="D187" s="859"/>
      <c r="E187" s="859"/>
      <c r="F187" s="860"/>
      <c r="G187" s="860"/>
      <c r="H187" s="860"/>
      <c r="I187" s="860"/>
      <c r="J187" s="860"/>
      <c r="K187" s="860"/>
      <c r="L187" s="860"/>
      <c r="M187" s="860"/>
      <c r="N187" s="860"/>
      <c r="O187" s="934"/>
      <c r="P187" s="852"/>
    </row>
    <row r="188" spans="2:17" x14ac:dyDescent="0.2">
      <c r="B188" s="852"/>
      <c r="C188" s="933"/>
      <c r="D188" s="918"/>
      <c r="E188" s="884"/>
      <c r="F188" s="885"/>
      <c r="G188" s="885"/>
      <c r="H188" s="1501">
        <f t="shared" ref="H188:M188" si="52">H8</f>
        <v>2019</v>
      </c>
      <c r="I188" s="1501">
        <f t="shared" si="52"/>
        <v>2020</v>
      </c>
      <c r="J188" s="1501">
        <f t="shared" si="52"/>
        <v>2021</v>
      </c>
      <c r="K188" s="1501">
        <f t="shared" si="52"/>
        <v>2022</v>
      </c>
      <c r="L188" s="1501">
        <f t="shared" si="52"/>
        <v>2023</v>
      </c>
      <c r="M188" s="1501">
        <f t="shared" si="52"/>
        <v>2024</v>
      </c>
      <c r="N188" s="1501">
        <f>N8</f>
        <v>2025</v>
      </c>
      <c r="O188" s="935"/>
      <c r="P188" s="916"/>
    </row>
    <row r="189" spans="2:17" x14ac:dyDescent="0.2">
      <c r="B189" s="852"/>
      <c r="C189" s="933"/>
      <c r="D189" s="920" t="s">
        <v>71</v>
      </c>
      <c r="E189" s="884"/>
      <c r="F189" s="885"/>
      <c r="G189" s="885"/>
      <c r="H189" s="885"/>
      <c r="I189" s="885"/>
      <c r="J189" s="885"/>
      <c r="K189" s="885"/>
      <c r="L189" s="885"/>
      <c r="M189" s="885"/>
      <c r="N189" s="885"/>
      <c r="O189" s="935"/>
      <c r="P189" s="916"/>
    </row>
    <row r="190" spans="2:17" x14ac:dyDescent="0.2">
      <c r="B190" s="852"/>
      <c r="C190" s="933"/>
      <c r="D190" s="884" t="s">
        <v>187</v>
      </c>
      <c r="E190" s="884"/>
      <c r="F190" s="885"/>
      <c r="G190" s="885"/>
      <c r="H190" s="921">
        <f t="shared" ref="H190:M193" si="53">H197+H204</f>
        <v>0</v>
      </c>
      <c r="I190" s="921">
        <f t="shared" si="53"/>
        <v>19071297.399045512</v>
      </c>
      <c r="J190" s="921">
        <f t="shared" si="53"/>
        <v>18654960.760734603</v>
      </c>
      <c r="K190" s="921">
        <f t="shared" si="53"/>
        <v>19127337.8835494</v>
      </c>
      <c r="L190" s="921">
        <f t="shared" si="53"/>
        <v>19127337.8835494</v>
      </c>
      <c r="M190" s="921">
        <f t="shared" si="53"/>
        <v>19127337.8835494</v>
      </c>
      <c r="N190" s="921">
        <f>N197+N204</f>
        <v>19127337.883549396</v>
      </c>
      <c r="O190" s="935"/>
      <c r="P190" s="916"/>
    </row>
    <row r="191" spans="2:17" x14ac:dyDescent="0.2">
      <c r="B191" s="852"/>
      <c r="C191" s="933"/>
      <c r="D191" s="884" t="s">
        <v>168</v>
      </c>
      <c r="E191" s="884"/>
      <c r="F191" s="885"/>
      <c r="G191" s="885"/>
      <c r="H191" s="921">
        <f t="shared" si="53"/>
        <v>0</v>
      </c>
      <c r="I191" s="921">
        <f t="shared" si="53"/>
        <v>0</v>
      </c>
      <c r="J191" s="921">
        <f t="shared" si="53"/>
        <v>0</v>
      </c>
      <c r="K191" s="921">
        <f t="shared" si="53"/>
        <v>0</v>
      </c>
      <c r="L191" s="921">
        <f t="shared" si="53"/>
        <v>0</v>
      </c>
      <c r="M191" s="921">
        <f t="shared" si="53"/>
        <v>0</v>
      </c>
      <c r="N191" s="921">
        <f>N198+N205</f>
        <v>0</v>
      </c>
      <c r="O191" s="935"/>
      <c r="P191" s="916"/>
    </row>
    <row r="192" spans="2:17" x14ac:dyDescent="0.2">
      <c r="B192" s="852"/>
      <c r="C192" s="933"/>
      <c r="D192" s="884" t="s">
        <v>181</v>
      </c>
      <c r="E192" s="884"/>
      <c r="F192" s="885"/>
      <c r="G192" s="885"/>
      <c r="H192" s="921">
        <f t="shared" si="53"/>
        <v>0</v>
      </c>
      <c r="I192" s="921">
        <f t="shared" si="53"/>
        <v>0</v>
      </c>
      <c r="J192" s="921">
        <f t="shared" si="53"/>
        <v>0</v>
      </c>
      <c r="K192" s="921">
        <f t="shared" si="53"/>
        <v>0</v>
      </c>
      <c r="L192" s="921">
        <f t="shared" si="53"/>
        <v>0</v>
      </c>
      <c r="M192" s="921">
        <f t="shared" si="53"/>
        <v>0</v>
      </c>
      <c r="N192" s="921">
        <f>N199+N206</f>
        <v>0</v>
      </c>
      <c r="O192" s="935"/>
      <c r="P192" s="916"/>
      <c r="Q192" s="6"/>
    </row>
    <row r="193" spans="1:32" x14ac:dyDescent="0.2">
      <c r="B193" s="852"/>
      <c r="C193" s="933"/>
      <c r="D193" s="884" t="s">
        <v>94</v>
      </c>
      <c r="E193" s="884"/>
      <c r="F193" s="885"/>
      <c r="G193" s="885"/>
      <c r="H193" s="921">
        <f t="shared" si="53"/>
        <v>0</v>
      </c>
      <c r="I193" s="921">
        <f t="shared" si="53"/>
        <v>0</v>
      </c>
      <c r="J193" s="921">
        <f t="shared" si="53"/>
        <v>0</v>
      </c>
      <c r="K193" s="921">
        <f t="shared" si="53"/>
        <v>0</v>
      </c>
      <c r="L193" s="921">
        <f t="shared" si="53"/>
        <v>0</v>
      </c>
      <c r="M193" s="921">
        <f t="shared" si="53"/>
        <v>0</v>
      </c>
      <c r="N193" s="921">
        <f>N200+N207</f>
        <v>0</v>
      </c>
      <c r="O193" s="935"/>
      <c r="P193" s="916"/>
      <c r="Q193" s="6"/>
    </row>
    <row r="194" spans="1:32" x14ac:dyDescent="0.2">
      <c r="B194" s="852"/>
      <c r="C194" s="933"/>
      <c r="D194" s="884" t="s">
        <v>188</v>
      </c>
      <c r="E194" s="884"/>
      <c r="F194" s="885"/>
      <c r="G194" s="885"/>
      <c r="H194" s="921">
        <f t="shared" ref="H194:M194" si="54">H201+H208+H210+H213</f>
        <v>9814132.8049999997</v>
      </c>
      <c r="I194" s="921">
        <f t="shared" si="54"/>
        <v>8447110.6241666656</v>
      </c>
      <c r="J194" s="921">
        <f t="shared" si="54"/>
        <v>8727520.230833333</v>
      </c>
      <c r="K194" s="921">
        <f t="shared" si="54"/>
        <v>8708199.9499999993</v>
      </c>
      <c r="L194" s="921">
        <f t="shared" si="54"/>
        <v>8714416.9299999997</v>
      </c>
      <c r="M194" s="921">
        <f t="shared" si="54"/>
        <v>8721111.3099999987</v>
      </c>
      <c r="N194" s="921" t="e">
        <f>N201+N208+N210+N213</f>
        <v>#REF!</v>
      </c>
      <c r="O194" s="935"/>
      <c r="P194" s="916"/>
      <c r="Q194" s="6"/>
    </row>
    <row r="195" spans="1:32" x14ac:dyDescent="0.2">
      <c r="B195" s="852"/>
      <c r="C195" s="933"/>
      <c r="D195" s="884"/>
      <c r="E195" s="884"/>
      <c r="F195" s="885"/>
      <c r="G195" s="885"/>
      <c r="H195" s="885"/>
      <c r="I195" s="885"/>
      <c r="J195" s="885"/>
      <c r="K195" s="885"/>
      <c r="L195" s="885"/>
      <c r="M195" s="885"/>
      <c r="N195" s="885"/>
      <c r="O195" s="936"/>
      <c r="P195" s="852"/>
      <c r="Q195" s="6"/>
    </row>
    <row r="196" spans="1:32" x14ac:dyDescent="0.2">
      <c r="B196" s="852"/>
      <c r="C196" s="933"/>
      <c r="D196" s="920" t="s">
        <v>21</v>
      </c>
      <c r="E196" s="884"/>
      <c r="F196" s="885"/>
      <c r="G196" s="885"/>
      <c r="H196" s="885"/>
      <c r="I196" s="885"/>
      <c r="J196" s="885"/>
      <c r="K196" s="885"/>
      <c r="L196" s="885"/>
      <c r="M196" s="885"/>
      <c r="N196" s="885"/>
      <c r="O196" s="936"/>
      <c r="P196" s="852"/>
      <c r="Q196" s="6"/>
    </row>
    <row r="197" spans="1:32" x14ac:dyDescent="0.2">
      <c r="B197" s="852"/>
      <c r="C197" s="933"/>
      <c r="D197" s="884" t="s">
        <v>187</v>
      </c>
      <c r="E197" s="884"/>
      <c r="F197" s="885"/>
      <c r="G197" s="885"/>
      <c r="H197" s="921">
        <f t="shared" ref="H197:M197" si="55">H32</f>
        <v>0</v>
      </c>
      <c r="I197" s="921">
        <f t="shared" si="55"/>
        <v>9357079.8469621763</v>
      </c>
      <c r="J197" s="921">
        <f t="shared" si="55"/>
        <v>9139766.2857346032</v>
      </c>
      <c r="K197" s="921">
        <f t="shared" si="55"/>
        <v>9369893.3235493954</v>
      </c>
      <c r="L197" s="921">
        <f t="shared" si="55"/>
        <v>9369893.3235493954</v>
      </c>
      <c r="M197" s="921">
        <f t="shared" si="55"/>
        <v>9369893.3235493954</v>
      </c>
      <c r="N197" s="921">
        <f>N32</f>
        <v>9369893.3235493954</v>
      </c>
      <c r="O197" s="936"/>
      <c r="P197" s="852"/>
      <c r="Q197" s="6"/>
    </row>
    <row r="198" spans="1:32" x14ac:dyDescent="0.2">
      <c r="B198" s="852"/>
      <c r="C198" s="933"/>
      <c r="D198" s="884" t="s">
        <v>168</v>
      </c>
      <c r="E198" s="884"/>
      <c r="F198" s="885"/>
      <c r="G198" s="885"/>
      <c r="H198" s="921">
        <f t="shared" ref="H198:M198" si="56">H64</f>
        <v>0</v>
      </c>
      <c r="I198" s="921">
        <f t="shared" si="56"/>
        <v>0</v>
      </c>
      <c r="J198" s="921">
        <f t="shared" si="56"/>
        <v>0</v>
      </c>
      <c r="K198" s="921">
        <f t="shared" si="56"/>
        <v>0</v>
      </c>
      <c r="L198" s="921">
        <f t="shared" si="56"/>
        <v>0</v>
      </c>
      <c r="M198" s="921">
        <f t="shared" si="56"/>
        <v>0</v>
      </c>
      <c r="N198" s="921">
        <f>N64</f>
        <v>0</v>
      </c>
      <c r="O198" s="936"/>
      <c r="P198" s="852"/>
      <c r="Q198" s="210"/>
    </row>
    <row r="199" spans="1:32" x14ac:dyDescent="0.2">
      <c r="B199" s="852"/>
      <c r="C199" s="933"/>
      <c r="D199" s="884" t="s">
        <v>181</v>
      </c>
      <c r="E199" s="884"/>
      <c r="F199" s="885"/>
      <c r="G199" s="885"/>
      <c r="H199" s="921">
        <f t="shared" ref="H199:M199" si="57">H83</f>
        <v>0</v>
      </c>
      <c r="I199" s="921">
        <f t="shared" si="57"/>
        <v>0</v>
      </c>
      <c r="J199" s="921">
        <f t="shared" si="57"/>
        <v>0</v>
      </c>
      <c r="K199" s="921">
        <f t="shared" si="57"/>
        <v>0</v>
      </c>
      <c r="L199" s="921">
        <f t="shared" si="57"/>
        <v>0</v>
      </c>
      <c r="M199" s="921">
        <f t="shared" si="57"/>
        <v>0</v>
      </c>
      <c r="N199" s="921">
        <f>N83</f>
        <v>0</v>
      </c>
      <c r="O199" s="936"/>
      <c r="P199" s="852"/>
      <c r="Q199" s="210"/>
    </row>
    <row r="200" spans="1:32" x14ac:dyDescent="0.2">
      <c r="B200" s="852"/>
      <c r="C200" s="933"/>
      <c r="D200" s="884" t="s">
        <v>94</v>
      </c>
      <c r="E200" s="884"/>
      <c r="F200" s="885"/>
      <c r="G200" s="885"/>
      <c r="H200" s="921">
        <f t="shared" ref="H200:M200" si="58">H88-H199</f>
        <v>0</v>
      </c>
      <c r="I200" s="921">
        <f t="shared" si="58"/>
        <v>0</v>
      </c>
      <c r="J200" s="921">
        <f t="shared" si="58"/>
        <v>0</v>
      </c>
      <c r="K200" s="921">
        <f t="shared" si="58"/>
        <v>0</v>
      </c>
      <c r="L200" s="921">
        <f t="shared" si="58"/>
        <v>0</v>
      </c>
      <c r="M200" s="921">
        <f t="shared" si="58"/>
        <v>0</v>
      </c>
      <c r="N200" s="921">
        <f>N88-N199</f>
        <v>0</v>
      </c>
      <c r="O200" s="936"/>
      <c r="P200" s="852"/>
      <c r="Q200" s="210"/>
    </row>
    <row r="201" spans="1:32" s="1364" customFormat="1" x14ac:dyDescent="0.2">
      <c r="A201" s="164"/>
      <c r="B201" s="852"/>
      <c r="C201" s="933"/>
      <c r="D201" s="884" t="s">
        <v>188</v>
      </c>
      <c r="E201" s="884"/>
      <c r="F201" s="885"/>
      <c r="G201" s="885"/>
      <c r="H201" s="921">
        <f t="shared" ref="H201:M201" si="59">H137</f>
        <v>3447108.47</v>
      </c>
      <c r="I201" s="921">
        <f t="shared" si="59"/>
        <v>2006725.5</v>
      </c>
      <c r="J201" s="921">
        <f t="shared" si="59"/>
        <v>2135361.3600000003</v>
      </c>
      <c r="K201" s="921">
        <f t="shared" si="59"/>
        <v>2195580.7199999997</v>
      </c>
      <c r="L201" s="921">
        <f t="shared" si="59"/>
        <v>2195580.7199999997</v>
      </c>
      <c r="M201" s="921">
        <f t="shared" si="59"/>
        <v>2195580.7199999997</v>
      </c>
      <c r="N201" s="921">
        <f>N137</f>
        <v>2195580.7199999997</v>
      </c>
      <c r="O201" s="936"/>
      <c r="P201" s="852"/>
      <c r="Q201" s="1369"/>
      <c r="R201" s="164"/>
      <c r="S201" s="164"/>
      <c r="T201" s="164"/>
      <c r="U201" s="164"/>
      <c r="V201" s="164"/>
      <c r="W201" s="164"/>
      <c r="X201" s="164"/>
      <c r="Y201" s="164"/>
      <c r="Z201" s="164"/>
      <c r="AA201" s="164"/>
      <c r="AB201" s="164"/>
      <c r="AC201" s="164"/>
      <c r="AD201" s="164"/>
      <c r="AE201" s="164"/>
      <c r="AF201" s="164"/>
    </row>
    <row r="202" spans="1:32" s="1364" customFormat="1" x14ac:dyDescent="0.2">
      <c r="A202" s="164"/>
      <c r="B202" s="852"/>
      <c r="C202" s="933"/>
      <c r="D202" s="884"/>
      <c r="E202" s="884"/>
      <c r="F202" s="885"/>
      <c r="G202" s="885"/>
      <c r="H202" s="885"/>
      <c r="I202" s="885"/>
      <c r="J202" s="885"/>
      <c r="K202" s="885"/>
      <c r="L202" s="885"/>
      <c r="M202" s="885"/>
      <c r="N202" s="885"/>
      <c r="O202" s="936"/>
      <c r="P202" s="852"/>
      <c r="Q202" s="1369"/>
      <c r="R202" s="164"/>
      <c r="S202" s="164"/>
      <c r="T202" s="164"/>
      <c r="U202" s="164"/>
      <c r="V202" s="164"/>
      <c r="W202" s="164"/>
      <c r="X202" s="164"/>
      <c r="Y202" s="164"/>
      <c r="Z202" s="164"/>
      <c r="AA202" s="164"/>
      <c r="AB202" s="164"/>
      <c r="AC202" s="164"/>
      <c r="AD202" s="164"/>
      <c r="AE202" s="164"/>
      <c r="AF202" s="164"/>
    </row>
    <row r="203" spans="1:32" s="1364" customFormat="1" x14ac:dyDescent="0.2">
      <c r="A203" s="164"/>
      <c r="B203" s="852"/>
      <c r="C203" s="933"/>
      <c r="D203" s="920" t="s">
        <v>22</v>
      </c>
      <c r="E203" s="884"/>
      <c r="F203" s="885"/>
      <c r="G203" s="885"/>
      <c r="H203" s="885"/>
      <c r="I203" s="885"/>
      <c r="J203" s="885"/>
      <c r="K203" s="885"/>
      <c r="L203" s="885"/>
      <c r="M203" s="885"/>
      <c r="N203" s="885"/>
      <c r="O203" s="936"/>
      <c r="P203" s="852"/>
      <c r="Q203" s="1369"/>
      <c r="R203" s="164"/>
      <c r="S203" s="164"/>
      <c r="T203" s="164"/>
      <c r="U203" s="164"/>
      <c r="V203" s="164"/>
      <c r="W203" s="164"/>
      <c r="X203" s="164"/>
      <c r="Y203" s="164"/>
      <c r="Z203" s="164"/>
      <c r="AA203" s="164"/>
      <c r="AB203" s="164"/>
      <c r="AC203" s="164"/>
      <c r="AD203" s="164"/>
      <c r="AE203" s="164"/>
      <c r="AF203" s="164"/>
    </row>
    <row r="204" spans="1:32" s="1364" customFormat="1" x14ac:dyDescent="0.2">
      <c r="A204" s="164"/>
      <c r="B204" s="852"/>
      <c r="C204" s="933"/>
      <c r="D204" s="884" t="s">
        <v>187</v>
      </c>
      <c r="E204" s="884"/>
      <c r="F204" s="885"/>
      <c r="G204" s="885"/>
      <c r="H204" s="921">
        <f t="shared" ref="H204:M204" si="60">H49</f>
        <v>0</v>
      </c>
      <c r="I204" s="921">
        <f t="shared" si="60"/>
        <v>9714217.552083334</v>
      </c>
      <c r="J204" s="921">
        <f t="shared" si="60"/>
        <v>9515194.4750000015</v>
      </c>
      <c r="K204" s="921">
        <f t="shared" si="60"/>
        <v>9757444.5600000024</v>
      </c>
      <c r="L204" s="921">
        <f t="shared" si="60"/>
        <v>9757444.5600000024</v>
      </c>
      <c r="M204" s="921">
        <f t="shared" si="60"/>
        <v>9757444.5600000024</v>
      </c>
      <c r="N204" s="921">
        <f>N49</f>
        <v>9757444.5600000005</v>
      </c>
      <c r="O204" s="936"/>
      <c r="P204" s="852"/>
      <c r="Q204" s="1369"/>
      <c r="R204" s="164"/>
      <c r="S204" s="164"/>
      <c r="T204" s="164"/>
      <c r="U204" s="164"/>
      <c r="V204" s="164"/>
      <c r="W204" s="164"/>
      <c r="X204" s="164"/>
      <c r="Y204" s="164"/>
      <c r="Z204" s="164"/>
      <c r="AA204" s="164"/>
      <c r="AB204" s="164"/>
      <c r="AC204" s="164"/>
      <c r="AD204" s="164"/>
      <c r="AE204" s="164"/>
      <c r="AF204" s="164"/>
    </row>
    <row r="205" spans="1:32" x14ac:dyDescent="0.2">
      <c r="B205" s="852"/>
      <c r="C205" s="933"/>
      <c r="D205" s="884" t="s">
        <v>168</v>
      </c>
      <c r="E205" s="884"/>
      <c r="F205" s="885"/>
      <c r="G205" s="885"/>
      <c r="H205" s="922">
        <f t="shared" ref="H205:M205" si="61">H73</f>
        <v>0</v>
      </c>
      <c r="I205" s="922">
        <f t="shared" si="61"/>
        <v>0</v>
      </c>
      <c r="J205" s="922">
        <f t="shared" si="61"/>
        <v>0</v>
      </c>
      <c r="K205" s="922">
        <f t="shared" si="61"/>
        <v>0</v>
      </c>
      <c r="L205" s="922">
        <f t="shared" si="61"/>
        <v>0</v>
      </c>
      <c r="M205" s="922">
        <f t="shared" si="61"/>
        <v>0</v>
      </c>
      <c r="N205" s="922">
        <f>N73</f>
        <v>0</v>
      </c>
      <c r="O205" s="936"/>
      <c r="P205" s="852"/>
      <c r="Q205" s="210"/>
    </row>
    <row r="206" spans="1:32" x14ac:dyDescent="0.2">
      <c r="B206" s="852"/>
      <c r="C206" s="933"/>
      <c r="D206" s="884" t="s">
        <v>181</v>
      </c>
      <c r="E206" s="884"/>
      <c r="F206" s="885"/>
      <c r="G206" s="885"/>
      <c r="H206" s="922">
        <f t="shared" ref="H206:M206" si="62">H92</f>
        <v>0</v>
      </c>
      <c r="I206" s="922">
        <f t="shared" si="62"/>
        <v>0</v>
      </c>
      <c r="J206" s="922">
        <f t="shared" si="62"/>
        <v>0</v>
      </c>
      <c r="K206" s="922">
        <f t="shared" si="62"/>
        <v>0</v>
      </c>
      <c r="L206" s="922">
        <f t="shared" si="62"/>
        <v>0</v>
      </c>
      <c r="M206" s="922">
        <f t="shared" si="62"/>
        <v>0</v>
      </c>
      <c r="N206" s="922">
        <f>N92</f>
        <v>0</v>
      </c>
      <c r="O206" s="936"/>
      <c r="P206" s="852"/>
      <c r="Q206" s="210"/>
    </row>
    <row r="207" spans="1:32" x14ac:dyDescent="0.2">
      <c r="B207" s="852"/>
      <c r="C207" s="933"/>
      <c r="D207" s="884" t="s">
        <v>94</v>
      </c>
      <c r="E207" s="884"/>
      <c r="F207" s="885"/>
      <c r="G207" s="885"/>
      <c r="H207" s="922">
        <f t="shared" ref="H207:M207" si="63">H97-H206</f>
        <v>0</v>
      </c>
      <c r="I207" s="922">
        <f t="shared" si="63"/>
        <v>0</v>
      </c>
      <c r="J207" s="922">
        <f t="shared" si="63"/>
        <v>0</v>
      </c>
      <c r="K207" s="922">
        <f t="shared" si="63"/>
        <v>0</v>
      </c>
      <c r="L207" s="922">
        <f t="shared" si="63"/>
        <v>0</v>
      </c>
      <c r="M207" s="922">
        <f t="shared" si="63"/>
        <v>0</v>
      </c>
      <c r="N207" s="922">
        <f>N97-N206</f>
        <v>0</v>
      </c>
      <c r="O207" s="936"/>
      <c r="P207" s="852"/>
      <c r="Q207" s="210"/>
    </row>
    <row r="208" spans="1:32" x14ac:dyDescent="0.2">
      <c r="B208" s="852"/>
      <c r="C208" s="933"/>
      <c r="D208" s="861" t="s">
        <v>544</v>
      </c>
      <c r="E208" s="884"/>
      <c r="F208" s="885"/>
      <c r="G208" s="885"/>
      <c r="H208" s="922">
        <f t="shared" ref="H208:M208" si="64">+H158</f>
        <v>6284362.6783333328</v>
      </c>
      <c r="I208" s="922">
        <f t="shared" si="64"/>
        <v>6351169.355833333</v>
      </c>
      <c r="J208" s="922">
        <f t="shared" si="64"/>
        <v>6497205.1908333329</v>
      </c>
      <c r="K208" s="922">
        <f t="shared" si="64"/>
        <v>6411942.9099999992</v>
      </c>
      <c r="L208" s="922">
        <f t="shared" si="64"/>
        <v>6411942.9099999992</v>
      </c>
      <c r="M208" s="922">
        <f t="shared" si="64"/>
        <v>6411942.9099999992</v>
      </c>
      <c r="N208" s="922">
        <f>+N158</f>
        <v>6411942.9099999992</v>
      </c>
      <c r="O208" s="936"/>
      <c r="P208" s="852"/>
      <c r="Q208" s="210"/>
    </row>
    <row r="209" spans="2:18" x14ac:dyDescent="0.2">
      <c r="B209" s="852"/>
      <c r="C209" s="933"/>
      <c r="D209" s="1388"/>
      <c r="E209" s="859"/>
      <c r="F209" s="860"/>
      <c r="G209" s="860"/>
      <c r="H209" s="860"/>
      <c r="I209" s="860"/>
      <c r="J209" s="860"/>
      <c r="K209" s="860"/>
      <c r="L209" s="860"/>
      <c r="M209" s="860"/>
      <c r="N209" s="860"/>
      <c r="O209" s="934"/>
      <c r="P209" s="852"/>
      <c r="Q209" s="6"/>
    </row>
    <row r="210" spans="2:18" x14ac:dyDescent="0.2">
      <c r="B210" s="852"/>
      <c r="C210" s="933"/>
      <c r="D210" s="923" t="s">
        <v>499</v>
      </c>
      <c r="E210" s="862"/>
      <c r="F210" s="863"/>
      <c r="G210" s="863"/>
      <c r="H210" s="924">
        <f>H117</f>
        <v>70316.656666666677</v>
      </c>
      <c r="I210" s="924">
        <f>I117+I118</f>
        <v>76870.768333333341</v>
      </c>
      <c r="J210" s="924">
        <f>J117</f>
        <v>82608.680000000008</v>
      </c>
      <c r="K210" s="924">
        <f t="shared" ref="K210:N210" si="65">K117</f>
        <v>88331.32</v>
      </c>
      <c r="L210" s="924">
        <f t="shared" si="65"/>
        <v>94548.300000000017</v>
      </c>
      <c r="M210" s="924">
        <f t="shared" si="65"/>
        <v>101242.68000000001</v>
      </c>
      <c r="N210" s="924" t="e">
        <f t="shared" si="65"/>
        <v>#REF!</v>
      </c>
      <c r="O210" s="934"/>
      <c r="P210" s="852"/>
      <c r="Q210" s="6"/>
    </row>
    <row r="211" spans="2:18" x14ac:dyDescent="0.2">
      <c r="B211" s="852"/>
      <c r="C211" s="933"/>
      <c r="D211" s="923" t="s">
        <v>436</v>
      </c>
      <c r="E211" s="862"/>
      <c r="F211" s="863"/>
      <c r="G211" s="863"/>
      <c r="H211" s="924">
        <f t="shared" ref="H211:M211" si="66">H104</f>
        <v>0</v>
      </c>
      <c r="I211" s="924">
        <f t="shared" si="66"/>
        <v>19071297.399045512</v>
      </c>
      <c r="J211" s="924">
        <f t="shared" si="66"/>
        <v>18654960.760734603</v>
      </c>
      <c r="K211" s="924">
        <f t="shared" si="66"/>
        <v>19127337.8835494</v>
      </c>
      <c r="L211" s="924">
        <f t="shared" si="66"/>
        <v>19127337.8835494</v>
      </c>
      <c r="M211" s="924">
        <f t="shared" si="66"/>
        <v>19127337.8835494</v>
      </c>
      <c r="N211" s="924">
        <f>N104</f>
        <v>19127337.883549396</v>
      </c>
      <c r="O211" s="934"/>
      <c r="P211" s="852"/>
      <c r="Q211" s="6"/>
    </row>
    <row r="212" spans="2:18" x14ac:dyDescent="0.2">
      <c r="B212" s="852"/>
      <c r="C212" s="933"/>
      <c r="D212" s="923" t="s">
        <v>535</v>
      </c>
      <c r="E212" s="862"/>
      <c r="F212" s="863"/>
      <c r="G212" s="863"/>
      <c r="H212" s="924">
        <f>H175</f>
        <v>8440556.5124999993</v>
      </c>
      <c r="I212" s="924">
        <f t="shared" ref="I212:N212" si="67">I175</f>
        <v>8447110.6241666656</v>
      </c>
      <c r="J212" s="924">
        <f t="shared" si="67"/>
        <v>8727520.230833333</v>
      </c>
      <c r="K212" s="924">
        <f t="shared" si="67"/>
        <v>8708199.9499999993</v>
      </c>
      <c r="L212" s="924">
        <f t="shared" si="67"/>
        <v>8714416.9299999997</v>
      </c>
      <c r="M212" s="924">
        <f t="shared" si="67"/>
        <v>8721111.3099999987</v>
      </c>
      <c r="N212" s="924" t="e">
        <f t="shared" si="67"/>
        <v>#REF!</v>
      </c>
      <c r="O212" s="934"/>
      <c r="P212" s="852"/>
      <c r="Q212" s="6"/>
    </row>
    <row r="213" spans="2:18" x14ac:dyDescent="0.2">
      <c r="B213" s="852"/>
      <c r="C213" s="933"/>
      <c r="D213" s="923" t="s">
        <v>866</v>
      </c>
      <c r="E213" s="862"/>
      <c r="F213" s="863"/>
      <c r="G213" s="863"/>
      <c r="H213" s="924">
        <f t="shared" ref="H213:M213" si="68">+H172</f>
        <v>12345</v>
      </c>
      <c r="I213" s="924">
        <f t="shared" si="68"/>
        <v>12345</v>
      </c>
      <c r="J213" s="924">
        <f t="shared" si="68"/>
        <v>12345</v>
      </c>
      <c r="K213" s="924">
        <f t="shared" si="68"/>
        <v>12345</v>
      </c>
      <c r="L213" s="924">
        <f t="shared" si="68"/>
        <v>12345</v>
      </c>
      <c r="M213" s="924">
        <f t="shared" si="68"/>
        <v>12345</v>
      </c>
      <c r="N213" s="924">
        <f>+N172</f>
        <v>12345</v>
      </c>
      <c r="O213" s="934"/>
      <c r="P213" s="852"/>
      <c r="Q213" s="6"/>
    </row>
    <row r="214" spans="2:18" x14ac:dyDescent="0.2">
      <c r="B214" s="852"/>
      <c r="C214" s="933"/>
      <c r="D214" s="862"/>
      <c r="E214" s="862"/>
      <c r="F214" s="863"/>
      <c r="G214" s="863"/>
      <c r="H214" s="925"/>
      <c r="I214" s="925"/>
      <c r="J214" s="925"/>
      <c r="K214" s="925"/>
      <c r="L214" s="925"/>
      <c r="M214" s="925"/>
      <c r="N214" s="925"/>
      <c r="O214" s="934"/>
      <c r="P214" s="852"/>
      <c r="Q214" s="6"/>
    </row>
    <row r="215" spans="2:18" x14ac:dyDescent="0.2">
      <c r="B215" s="852"/>
      <c r="C215" s="933"/>
      <c r="D215" s="926" t="s">
        <v>536</v>
      </c>
      <c r="E215" s="862"/>
      <c r="F215" s="863"/>
      <c r="G215" s="863"/>
      <c r="H215" s="927">
        <f t="shared" ref="H215:M215" si="69">+H211-H212</f>
        <v>-8440556.5124999993</v>
      </c>
      <c r="I215" s="927">
        <f t="shared" si="69"/>
        <v>10624186.774878846</v>
      </c>
      <c r="J215" s="927">
        <f t="shared" si="69"/>
        <v>9927440.5299012698</v>
      </c>
      <c r="K215" s="927">
        <f t="shared" si="69"/>
        <v>10419137.9335494</v>
      </c>
      <c r="L215" s="927">
        <f t="shared" si="69"/>
        <v>10412920.9535494</v>
      </c>
      <c r="M215" s="927">
        <f t="shared" si="69"/>
        <v>10406226.573549401</v>
      </c>
      <c r="N215" s="927" t="e">
        <f>+N211-N212</f>
        <v>#REF!</v>
      </c>
      <c r="O215" s="934"/>
      <c r="P215" s="852"/>
      <c r="Q215" s="6"/>
    </row>
    <row r="216" spans="2:18" x14ac:dyDescent="0.2">
      <c r="B216" s="852"/>
      <c r="C216" s="933"/>
      <c r="D216" s="926"/>
      <c r="E216" s="862"/>
      <c r="F216" s="863"/>
      <c r="G216" s="863"/>
      <c r="H216" s="927"/>
      <c r="I216" s="927"/>
      <c r="J216" s="927"/>
      <c r="K216" s="927"/>
      <c r="L216" s="927"/>
      <c r="M216" s="927"/>
      <c r="N216" s="927"/>
      <c r="O216" s="934"/>
      <c r="P216" s="852"/>
      <c r="Q216" s="6"/>
    </row>
    <row r="217" spans="2:18" x14ac:dyDescent="0.2">
      <c r="B217" s="852"/>
      <c r="C217" s="933"/>
      <c r="D217" s="926"/>
      <c r="E217" s="862"/>
      <c r="F217" s="863"/>
      <c r="G217" s="863"/>
      <c r="H217" s="927"/>
      <c r="I217" s="927"/>
      <c r="J217" s="927"/>
      <c r="K217" s="927"/>
      <c r="L217" s="927"/>
      <c r="M217" s="927"/>
      <c r="N217" s="927"/>
      <c r="O217" s="934"/>
      <c r="P217" s="852"/>
      <c r="Q217" s="6"/>
    </row>
    <row r="218" spans="2:18" x14ac:dyDescent="0.2">
      <c r="B218" s="852"/>
      <c r="C218" s="1365"/>
      <c r="D218" s="920" t="s">
        <v>793</v>
      </c>
      <c r="E218" s="920"/>
      <c r="F218" s="1366"/>
      <c r="G218" s="1366"/>
      <c r="H218" s="1367">
        <f>H142</f>
        <v>6112556.6783333328</v>
      </c>
      <c r="I218" s="1367">
        <f t="shared" ref="I218:N218" si="70">I142</f>
        <v>6155086.0158333331</v>
      </c>
      <c r="J218" s="1367">
        <f t="shared" si="70"/>
        <v>6344367.8808333334</v>
      </c>
      <c r="K218" s="1367">
        <f t="shared" si="70"/>
        <v>6259105.5999999996</v>
      </c>
      <c r="L218" s="1367">
        <f t="shared" si="70"/>
        <v>6259105.5999999996</v>
      </c>
      <c r="M218" s="1367">
        <f t="shared" si="70"/>
        <v>6259105.5999999996</v>
      </c>
      <c r="N218" s="1367">
        <f t="shared" si="70"/>
        <v>6259105.5999999996</v>
      </c>
      <c r="O218" s="1368"/>
    </row>
    <row r="219" spans="2:18" x14ac:dyDescent="0.2">
      <c r="B219" s="852"/>
      <c r="C219" s="1365"/>
      <c r="D219" s="920" t="s">
        <v>794</v>
      </c>
      <c r="E219" s="920"/>
      <c r="F219" s="1366"/>
      <c r="G219" s="1366"/>
      <c r="H219" s="1367">
        <f t="shared" ref="H219:M219" si="71">H143</f>
        <v>171806</v>
      </c>
      <c r="I219" s="1367">
        <f t="shared" si="71"/>
        <v>196083.34</v>
      </c>
      <c r="J219" s="1367">
        <f t="shared" si="71"/>
        <v>152837.31</v>
      </c>
      <c r="K219" s="1367">
        <f t="shared" si="71"/>
        <v>152837.31</v>
      </c>
      <c r="L219" s="1367">
        <f t="shared" si="71"/>
        <v>152837.31</v>
      </c>
      <c r="M219" s="1367">
        <f t="shared" si="71"/>
        <v>152837.31</v>
      </c>
      <c r="N219" s="1367">
        <f>N143</f>
        <v>152837.31</v>
      </c>
      <c r="O219" s="1368"/>
    </row>
    <row r="220" spans="2:18" x14ac:dyDescent="0.2">
      <c r="B220" s="852"/>
      <c r="C220" s="1365"/>
      <c r="D220" s="920" t="s">
        <v>795</v>
      </c>
      <c r="E220" s="920"/>
      <c r="F220" s="1366"/>
      <c r="G220" s="1366"/>
      <c r="H220" s="1367">
        <f t="shared" ref="H220:M221" si="72">H122</f>
        <v>1534030.1600000001</v>
      </c>
      <c r="I220" s="1367">
        <f t="shared" si="72"/>
        <v>124862.92000000001</v>
      </c>
      <c r="J220" s="1367">
        <f t="shared" si="72"/>
        <v>0</v>
      </c>
      <c r="K220" s="1367">
        <f t="shared" si="72"/>
        <v>0</v>
      </c>
      <c r="L220" s="1367">
        <f t="shared" si="72"/>
        <v>0</v>
      </c>
      <c r="M220" s="1367">
        <f t="shared" si="72"/>
        <v>0</v>
      </c>
      <c r="N220" s="1367">
        <f>N122</f>
        <v>0</v>
      </c>
      <c r="O220" s="1368"/>
    </row>
    <row r="221" spans="2:18" x14ac:dyDescent="0.2">
      <c r="B221" s="852"/>
      <c r="C221" s="1365"/>
      <c r="D221" s="920" t="s">
        <v>796</v>
      </c>
      <c r="E221" s="920"/>
      <c r="F221" s="1366"/>
      <c r="G221" s="1366"/>
      <c r="H221" s="1367">
        <f t="shared" si="72"/>
        <v>1913078.31</v>
      </c>
      <c r="I221" s="1367">
        <f t="shared" si="72"/>
        <v>1881862.58</v>
      </c>
      <c r="J221" s="1367">
        <f t="shared" si="72"/>
        <v>2135361.3600000003</v>
      </c>
      <c r="K221" s="1367">
        <f t="shared" si="72"/>
        <v>2195580.7199999997</v>
      </c>
      <c r="L221" s="1367">
        <f t="shared" si="72"/>
        <v>2195580.7199999997</v>
      </c>
      <c r="M221" s="1367">
        <f t="shared" si="72"/>
        <v>2195580.7199999997</v>
      </c>
      <c r="N221" s="1367">
        <f>N123</f>
        <v>2195580.7199999997</v>
      </c>
      <c r="O221" s="1368"/>
    </row>
    <row r="222" spans="2:18" x14ac:dyDescent="0.2">
      <c r="B222" s="852"/>
      <c r="C222" s="1365"/>
      <c r="D222" s="920" t="s">
        <v>851</v>
      </c>
      <c r="E222" s="920"/>
      <c r="F222" s="1366"/>
      <c r="G222" s="1366"/>
      <c r="H222" s="1367">
        <f t="shared" ref="H222:M222" si="73">H127+H148</f>
        <v>0</v>
      </c>
      <c r="I222" s="1367">
        <f t="shared" si="73"/>
        <v>0</v>
      </c>
      <c r="J222" s="1367">
        <f t="shared" si="73"/>
        <v>0</v>
      </c>
      <c r="K222" s="1367">
        <f t="shared" si="73"/>
        <v>0</v>
      </c>
      <c r="L222" s="1367">
        <f t="shared" si="73"/>
        <v>0</v>
      </c>
      <c r="M222" s="1367">
        <f t="shared" si="73"/>
        <v>0</v>
      </c>
      <c r="N222" s="1367">
        <f>N127+N148</f>
        <v>0</v>
      </c>
      <c r="O222" s="1368"/>
    </row>
    <row r="223" spans="2:18" x14ac:dyDescent="0.2">
      <c r="B223" s="852"/>
      <c r="C223" s="933"/>
      <c r="D223" s="1387" t="s">
        <v>798</v>
      </c>
      <c r="E223" s="862"/>
      <c r="F223" s="863"/>
      <c r="G223" s="863"/>
      <c r="H223" s="928">
        <f t="shared" ref="H223:M223" si="74">H194-SUM(H218:H222)</f>
        <v>82661.656666666269</v>
      </c>
      <c r="I223" s="928">
        <f t="shared" si="74"/>
        <v>89215.768333332613</v>
      </c>
      <c r="J223" s="928">
        <f t="shared" si="74"/>
        <v>94953.679999999702</v>
      </c>
      <c r="K223" s="928">
        <f t="shared" si="74"/>
        <v>100676.3200000003</v>
      </c>
      <c r="L223" s="928">
        <f t="shared" si="74"/>
        <v>106893.30000000075</v>
      </c>
      <c r="M223" s="928">
        <f t="shared" si="74"/>
        <v>113587.6799999997</v>
      </c>
      <c r="N223" s="928" t="e">
        <f>N194-SUM(N218:N222)</f>
        <v>#REF!</v>
      </c>
      <c r="O223" s="934"/>
      <c r="P223" s="852"/>
      <c r="Q223" s="6"/>
      <c r="R223" s="6"/>
    </row>
    <row r="224" spans="2:18" ht="13.5" thickBot="1" x14ac:dyDescent="0.25">
      <c r="B224" s="852"/>
      <c r="C224" s="933"/>
      <c r="D224" s="926"/>
      <c r="E224" s="862"/>
      <c r="F224" s="863"/>
      <c r="G224" s="863"/>
      <c r="H224" s="927"/>
      <c r="I224" s="927"/>
      <c r="J224" s="927"/>
      <c r="K224" s="927"/>
      <c r="L224" s="927"/>
      <c r="M224" s="927"/>
      <c r="N224" s="927"/>
      <c r="O224" s="934"/>
      <c r="P224" s="852"/>
      <c r="Q224" s="6"/>
      <c r="R224" s="6"/>
    </row>
    <row r="225" spans="1:18" ht="13.5" thickTop="1" x14ac:dyDescent="0.2">
      <c r="B225" s="852"/>
      <c r="C225" s="1383"/>
      <c r="D225" s="1371"/>
      <c r="E225" s="1372"/>
      <c r="F225" s="1373"/>
      <c r="G225" s="1373"/>
      <c r="H225" s="1373"/>
      <c r="I225" s="1373"/>
      <c r="J225" s="1373"/>
      <c r="K225" s="1373"/>
      <c r="L225" s="1373"/>
      <c r="M225" s="1373"/>
      <c r="N225" s="1373"/>
      <c r="O225" s="1384"/>
      <c r="P225" s="852"/>
      <c r="R225" s="6"/>
    </row>
    <row r="226" spans="1:18" x14ac:dyDescent="0.2">
      <c r="B226" s="852"/>
      <c r="C226" s="1385"/>
      <c r="D226" s="1381"/>
      <c r="E226" s="1375"/>
      <c r="F226" s="1376"/>
      <c r="G226" s="1376"/>
      <c r="H226" s="1376"/>
      <c r="I226" s="1376"/>
      <c r="J226" s="1376"/>
      <c r="K226" s="1376"/>
      <c r="L226" s="1376"/>
      <c r="M226" s="1376"/>
      <c r="N226" s="1376"/>
      <c r="O226" s="1386"/>
      <c r="P226" s="852"/>
      <c r="R226" s="6"/>
    </row>
    <row r="227" spans="1:18" ht="15.75" x14ac:dyDescent="0.25">
      <c r="B227" s="852"/>
      <c r="C227" s="1385"/>
      <c r="D227" s="1374" t="s">
        <v>784</v>
      </c>
      <c r="E227" s="1375"/>
      <c r="F227" s="1376"/>
      <c r="G227" s="1376"/>
      <c r="H227" s="1377"/>
      <c r="I227" s="1377" t="str">
        <f>+tab!F2</f>
        <v>2019/20</v>
      </c>
      <c r="J227" s="1377" t="str">
        <f>+tab!G2</f>
        <v>2020/21</v>
      </c>
      <c r="K227" s="1377" t="str">
        <f>+tab!H2</f>
        <v>2021/22</v>
      </c>
      <c r="L227" s="1377" t="str">
        <f>+tab!I2</f>
        <v>2022/23</v>
      </c>
      <c r="M227" s="1377" t="str">
        <f>+tab!J2</f>
        <v>2023/24</v>
      </c>
      <c r="N227" s="1377" t="str">
        <f>+tab!K2</f>
        <v>2024/25</v>
      </c>
      <c r="O227" s="1386"/>
      <c r="P227" s="852"/>
      <c r="R227" s="6"/>
    </row>
    <row r="228" spans="1:18" x14ac:dyDescent="0.2">
      <c r="B228" s="852"/>
      <c r="C228" s="1385"/>
      <c r="D228" s="1378" t="s">
        <v>591</v>
      </c>
      <c r="E228" s="1375"/>
      <c r="F228" s="1376"/>
      <c r="G228" s="1376"/>
      <c r="H228" s="1376"/>
      <c r="I228" s="1376"/>
      <c r="J228" s="1376"/>
      <c r="K228" s="1376"/>
      <c r="L228" s="1376"/>
      <c r="M228" s="1376"/>
      <c r="N228" s="1376"/>
      <c r="O228" s="1386"/>
      <c r="P228" s="852"/>
      <c r="R228" s="6"/>
    </row>
    <row r="229" spans="1:18" x14ac:dyDescent="0.2">
      <c r="B229" s="852"/>
      <c r="C229" s="1385"/>
      <c r="D229" s="1378" t="s">
        <v>375</v>
      </c>
      <c r="E229" s="1375"/>
      <c r="F229" s="1376"/>
      <c r="G229" s="1379"/>
      <c r="H229" s="1380"/>
      <c r="I229" s="1380">
        <f>ROUND('geg ll'!G60*tab!E26,2)</f>
        <v>9354567.4000000004</v>
      </c>
      <c r="J229" s="1380">
        <f>ROUND(('geg ll'!H60+'geg ll'!H27-0.5*'geg ll'!H26)*tab!F26,2)</f>
        <v>9342158.6999999993</v>
      </c>
      <c r="K229" s="1380">
        <f>ROUND('geg ll'!J61*tab!G26,2)</f>
        <v>9757444.5600000005</v>
      </c>
      <c r="L229" s="1380">
        <f>ROUND('geg ll'!K61*tab!H26,2)</f>
        <v>9757444.5600000005</v>
      </c>
      <c r="M229" s="1380">
        <f>ROUND('geg ll'!L61*tab!I26,2)</f>
        <v>9757444.5600000005</v>
      </c>
      <c r="N229" s="1380">
        <f>ROUND('geg ll'!M61*tab!J26,2)</f>
        <v>9757444.5600000005</v>
      </c>
      <c r="O229" s="1386"/>
      <c r="P229" s="852"/>
      <c r="R229" s="6"/>
    </row>
    <row r="230" spans="1:18" x14ac:dyDescent="0.2">
      <c r="B230" s="852"/>
      <c r="C230" s="1385"/>
      <c r="D230" s="1378" t="s">
        <v>965</v>
      </c>
      <c r="E230" s="1375"/>
      <c r="F230" s="1376"/>
      <c r="G230" s="1379"/>
      <c r="H230" s="1380"/>
      <c r="I230" s="1380">
        <f>-145029.22*1.03565*30%</f>
        <v>-45059.853507899999</v>
      </c>
      <c r="J230" s="1380"/>
      <c r="K230" s="1380"/>
      <c r="L230" s="1380"/>
      <c r="M230" s="1380"/>
      <c r="N230" s="1380"/>
      <c r="O230" s="1386"/>
      <c r="P230" s="852"/>
      <c r="R230" s="6"/>
    </row>
    <row r="231" spans="1:18" x14ac:dyDescent="0.2">
      <c r="B231" s="852"/>
      <c r="C231" s="1385"/>
      <c r="D231" s="1378" t="s">
        <v>607</v>
      </c>
      <c r="E231" s="1375"/>
      <c r="F231" s="1376"/>
      <c r="G231" s="1376"/>
      <c r="H231" s="1380"/>
      <c r="I231" s="1380">
        <f>'overdr VSO'!J17</f>
        <v>0</v>
      </c>
      <c r="J231" s="1380">
        <f>'overdr VSO'!K17</f>
        <v>0</v>
      </c>
      <c r="K231" s="1380">
        <f>'overdr VSO'!L17</f>
        <v>0</v>
      </c>
      <c r="L231" s="1380">
        <f>'overdr VSO'!M17</f>
        <v>0</v>
      </c>
      <c r="M231" s="1380">
        <f>'overdr VSO'!N17</f>
        <v>0</v>
      </c>
      <c r="N231" s="1380">
        <f>'overdr VSO'!O17</f>
        <v>0</v>
      </c>
      <c r="O231" s="1386"/>
      <c r="P231" s="852"/>
      <c r="R231" s="6"/>
    </row>
    <row r="232" spans="1:18" x14ac:dyDescent="0.2">
      <c r="B232" s="852"/>
      <c r="C232" s="1385"/>
      <c r="D232" s="1378" t="s">
        <v>608</v>
      </c>
      <c r="E232" s="1375"/>
      <c r="F232" s="1376"/>
      <c r="G232" s="1376"/>
      <c r="H232" s="1380"/>
      <c r="I232" s="1380">
        <f>'peild VSO'!H18</f>
        <v>0</v>
      </c>
      <c r="J232" s="1380">
        <f>'peild VSO'!I18</f>
        <v>0</v>
      </c>
      <c r="K232" s="1380">
        <f>'peild VSO'!J18</f>
        <v>0</v>
      </c>
      <c r="L232" s="1380">
        <f>'peild VSO'!K18</f>
        <v>0</v>
      </c>
      <c r="M232" s="1380">
        <f>'peild VSO'!L18</f>
        <v>0</v>
      </c>
      <c r="N232" s="1380">
        <f>'peild VSO'!M18</f>
        <v>0</v>
      </c>
      <c r="O232" s="1386"/>
      <c r="P232" s="852"/>
      <c r="R232" s="6"/>
    </row>
    <row r="233" spans="1:18" x14ac:dyDescent="0.2">
      <c r="B233" s="852"/>
      <c r="C233" s="1385"/>
      <c r="D233" s="1381"/>
      <c r="E233" s="1375"/>
      <c r="F233" s="1376"/>
      <c r="G233" s="1376"/>
      <c r="H233" s="1378"/>
      <c r="I233" s="1378"/>
      <c r="J233" s="1378"/>
      <c r="K233" s="1378"/>
      <c r="L233" s="1378"/>
      <c r="M233" s="1378"/>
      <c r="N233" s="1378"/>
      <c r="O233" s="1386"/>
      <c r="P233" s="852"/>
      <c r="R233" s="6"/>
    </row>
    <row r="234" spans="1:18" x14ac:dyDescent="0.2">
      <c r="B234" s="852"/>
      <c r="C234" s="1385"/>
      <c r="D234" s="1378" t="s">
        <v>938</v>
      </c>
      <c r="E234" s="1375"/>
      <c r="F234" s="1376"/>
      <c r="G234" s="1376"/>
      <c r="H234" s="1382"/>
      <c r="I234" s="1382">
        <f>+tab!H35</f>
        <v>625406.47499999998</v>
      </c>
      <c r="J234" s="1558"/>
      <c r="K234" s="1558"/>
      <c r="L234" s="1558"/>
      <c r="M234" s="1558"/>
      <c r="N234" s="1558"/>
      <c r="O234" s="1386"/>
      <c r="P234" s="852"/>
      <c r="R234" s="6"/>
    </row>
    <row r="235" spans="1:18" x14ac:dyDescent="0.2">
      <c r="B235" s="852"/>
      <c r="C235" s="1385"/>
      <c r="D235" s="1375"/>
      <c r="E235" s="1375"/>
      <c r="F235" s="1376"/>
      <c r="G235" s="1376"/>
      <c r="H235" s="1382"/>
      <c r="I235" s="1382"/>
      <c r="J235" s="1382"/>
      <c r="K235" s="1382"/>
      <c r="L235" s="1382"/>
      <c r="M235" s="1382"/>
      <c r="N235" s="1382"/>
      <c r="O235" s="1386"/>
      <c r="P235" s="852"/>
      <c r="R235" s="6"/>
    </row>
    <row r="236" spans="1:18" x14ac:dyDescent="0.2">
      <c r="B236" s="852"/>
      <c r="C236" s="1385"/>
      <c r="D236" s="1378" t="s">
        <v>709</v>
      </c>
      <c r="E236" s="1375"/>
      <c r="F236" s="1376"/>
      <c r="G236" s="1376"/>
      <c r="H236" s="1382"/>
      <c r="I236" s="1382">
        <f t="shared" ref="I236:N236" si="75">7/12*H47+5/12*I47</f>
        <v>0</v>
      </c>
      <c r="J236" s="1382">
        <f t="shared" si="75"/>
        <v>0</v>
      </c>
      <c r="K236" s="1382">
        <f t="shared" si="75"/>
        <v>0</v>
      </c>
      <c r="L236" s="1382">
        <f t="shared" si="75"/>
        <v>0</v>
      </c>
      <c r="M236" s="1382">
        <f t="shared" si="75"/>
        <v>0</v>
      </c>
      <c r="N236" s="1382">
        <f t="shared" si="75"/>
        <v>0</v>
      </c>
      <c r="O236" s="1386"/>
      <c r="P236" s="852"/>
      <c r="R236" s="6"/>
    </row>
    <row r="237" spans="1:18" x14ac:dyDescent="0.2">
      <c r="A237" s="6"/>
      <c r="B237" s="852"/>
      <c r="C237" s="1385"/>
      <c r="D237" s="1378"/>
      <c r="E237" s="1375"/>
      <c r="F237" s="1376"/>
      <c r="G237" s="1376"/>
      <c r="H237" s="1382"/>
      <c r="I237" s="1382">
        <f t="shared" ref="I237:N237" si="76">SUM(I229:I236)</f>
        <v>9934914.0214920994</v>
      </c>
      <c r="J237" s="1382">
        <f t="shared" si="76"/>
        <v>9342158.6999999993</v>
      </c>
      <c r="K237" s="1382">
        <f t="shared" si="76"/>
        <v>9757444.5600000005</v>
      </c>
      <c r="L237" s="1382">
        <f t="shared" si="76"/>
        <v>9757444.5600000005</v>
      </c>
      <c r="M237" s="1382">
        <f t="shared" si="76"/>
        <v>9757444.5600000005</v>
      </c>
      <c r="N237" s="1382">
        <f t="shared" si="76"/>
        <v>9757444.5600000005</v>
      </c>
      <c r="O237" s="1386"/>
      <c r="P237" s="852"/>
      <c r="R237" s="6"/>
    </row>
    <row r="238" spans="1:18" ht="13.5" thickBot="1" x14ac:dyDescent="0.25">
      <c r="A238" s="6"/>
      <c r="B238" s="852"/>
      <c r="C238" s="1385"/>
      <c r="D238" s="1381"/>
      <c r="E238" s="1375"/>
      <c r="F238" s="1376"/>
      <c r="G238" s="1376"/>
      <c r="H238" s="1382"/>
      <c r="I238" s="1376"/>
      <c r="J238" s="1376"/>
      <c r="K238" s="1376"/>
      <c r="L238" s="1376"/>
      <c r="M238" s="1376"/>
      <c r="N238" s="1376"/>
      <c r="O238" s="1390"/>
      <c r="P238" s="852"/>
      <c r="Q238" s="6"/>
      <c r="R238" s="6"/>
    </row>
    <row r="239" spans="1:18" ht="14.25" thickTop="1" thickBot="1" x14ac:dyDescent="0.25">
      <c r="A239" s="852"/>
      <c r="B239" s="852"/>
      <c r="C239" s="1389"/>
      <c r="D239" s="1391"/>
      <c r="E239" s="1392"/>
      <c r="F239" s="1393"/>
      <c r="G239" s="1393"/>
      <c r="H239" s="1394"/>
      <c r="I239" s="1394"/>
      <c r="J239" s="1394"/>
      <c r="K239" s="1394"/>
      <c r="L239" s="1394"/>
      <c r="M239" s="1394"/>
      <c r="N239" s="1394"/>
      <c r="O239" s="1389"/>
      <c r="P239" s="852"/>
      <c r="Q239" s="852"/>
      <c r="R239" s="6"/>
    </row>
    <row r="240" spans="1:18" ht="13.5" thickTop="1" x14ac:dyDescent="0.2">
      <c r="A240" s="852"/>
      <c r="B240" s="852"/>
      <c r="C240" s="929"/>
      <c r="D240" s="930"/>
      <c r="E240" s="930"/>
      <c r="F240" s="931"/>
      <c r="G240" s="931"/>
      <c r="H240" s="931"/>
      <c r="I240" s="931"/>
      <c r="J240" s="931"/>
      <c r="K240" s="931"/>
      <c r="L240" s="931"/>
      <c r="M240" s="931"/>
      <c r="N240" s="931"/>
      <c r="O240" s="932"/>
      <c r="P240" s="852"/>
      <c r="Q240" s="852"/>
      <c r="R240" s="6"/>
    </row>
    <row r="241" spans="1:18" x14ac:dyDescent="0.2">
      <c r="A241" s="852"/>
      <c r="B241" s="852"/>
      <c r="C241" s="933"/>
      <c r="D241" s="859"/>
      <c r="E241" s="859"/>
      <c r="F241" s="860"/>
      <c r="G241" s="860"/>
      <c r="H241" s="860"/>
      <c r="I241" s="860"/>
      <c r="J241" s="860"/>
      <c r="K241" s="860"/>
      <c r="L241" s="860"/>
      <c r="M241" s="860"/>
      <c r="N241" s="860"/>
      <c r="O241" s="934"/>
      <c r="P241" s="852"/>
      <c r="Q241" s="852"/>
      <c r="R241" s="6"/>
    </row>
    <row r="242" spans="1:18" x14ac:dyDescent="0.2">
      <c r="A242" s="852"/>
      <c r="B242" s="852"/>
      <c r="C242" s="933"/>
      <c r="D242" s="918"/>
      <c r="E242" s="884"/>
      <c r="F242" s="885"/>
      <c r="G242" s="885"/>
      <c r="H242" s="919"/>
      <c r="I242" s="919" t="str">
        <f>tab!F2</f>
        <v>2019/20</v>
      </c>
      <c r="J242" s="919" t="str">
        <f>tab!G2</f>
        <v>2020/21</v>
      </c>
      <c r="K242" s="919" t="str">
        <f>tab!H2</f>
        <v>2021/22</v>
      </c>
      <c r="L242" s="919" t="str">
        <f>tab!I2</f>
        <v>2022/23</v>
      </c>
      <c r="M242" s="919" t="str">
        <f>tab!J2</f>
        <v>2023/24</v>
      </c>
      <c r="N242" s="919" t="str">
        <f>tab!K2</f>
        <v>2024/25</v>
      </c>
      <c r="O242" s="935"/>
      <c r="P242" s="852"/>
      <c r="Q242" s="852"/>
      <c r="R242" s="6"/>
    </row>
    <row r="243" spans="1:18" x14ac:dyDescent="0.2">
      <c r="A243" s="852"/>
      <c r="B243" s="852"/>
      <c r="C243" s="933"/>
      <c r="D243" s="920" t="s">
        <v>71</v>
      </c>
      <c r="E243" s="884"/>
      <c r="F243" s="885"/>
      <c r="G243" s="885"/>
      <c r="H243" s="885"/>
      <c r="I243" s="885"/>
      <c r="J243" s="885"/>
      <c r="K243" s="885"/>
      <c r="L243" s="885"/>
      <c r="M243" s="885"/>
      <c r="N243" s="885"/>
      <c r="O243" s="935"/>
      <c r="P243" s="852"/>
      <c r="Q243" s="852"/>
      <c r="R243" s="6"/>
    </row>
    <row r="244" spans="1:18" x14ac:dyDescent="0.2">
      <c r="A244" s="852"/>
      <c r="B244" s="852"/>
      <c r="C244" s="933"/>
      <c r="D244" s="884" t="s">
        <v>187</v>
      </c>
      <c r="E244" s="884"/>
      <c r="F244" s="885"/>
      <c r="G244" s="885"/>
      <c r="H244" s="921"/>
      <c r="I244" s="921">
        <f t="shared" ref="I244:L247" si="77">I251+I258</f>
        <v>15393210.598886702</v>
      </c>
      <c r="J244" s="921">
        <f t="shared" si="77"/>
        <v>18572472.302912757</v>
      </c>
      <c r="K244" s="921">
        <f t="shared" si="77"/>
        <v>19031451.617793232</v>
      </c>
      <c r="L244" s="921">
        <f t="shared" si="77"/>
        <v>19127337.883549396</v>
      </c>
      <c r="M244" s="921">
        <f t="shared" ref="M244:N247" si="78">M251+M258</f>
        <v>19127337.883549396</v>
      </c>
      <c r="N244" s="921">
        <f t="shared" si="78"/>
        <v>19127337.883549396</v>
      </c>
      <c r="O244" s="935"/>
      <c r="P244" s="852"/>
      <c r="Q244" s="852"/>
      <c r="R244" s="6"/>
    </row>
    <row r="245" spans="1:18" x14ac:dyDescent="0.2">
      <c r="A245" s="852"/>
      <c r="B245" s="852"/>
      <c r="C245" s="933"/>
      <c r="D245" s="884" t="s">
        <v>168</v>
      </c>
      <c r="E245" s="884"/>
      <c r="F245" s="885"/>
      <c r="G245" s="885"/>
      <c r="H245" s="921"/>
      <c r="I245" s="921">
        <f t="shared" si="77"/>
        <v>0</v>
      </c>
      <c r="J245" s="921">
        <f t="shared" si="77"/>
        <v>0</v>
      </c>
      <c r="K245" s="921">
        <f t="shared" si="77"/>
        <v>0</v>
      </c>
      <c r="L245" s="921">
        <f t="shared" si="77"/>
        <v>0</v>
      </c>
      <c r="M245" s="921">
        <f t="shared" si="78"/>
        <v>0</v>
      </c>
      <c r="N245" s="921">
        <f t="shared" si="78"/>
        <v>0</v>
      </c>
      <c r="O245" s="935"/>
      <c r="P245" s="852"/>
      <c r="Q245" s="852"/>
      <c r="R245" s="6"/>
    </row>
    <row r="246" spans="1:18" x14ac:dyDescent="0.2">
      <c r="A246" s="852"/>
      <c r="B246" s="852"/>
      <c r="C246" s="933"/>
      <c r="D246" s="884" t="s">
        <v>181</v>
      </c>
      <c r="E246" s="884"/>
      <c r="F246" s="885"/>
      <c r="G246" s="885"/>
      <c r="H246" s="921"/>
      <c r="I246" s="921">
        <f t="shared" si="77"/>
        <v>0</v>
      </c>
      <c r="J246" s="921">
        <f t="shared" si="77"/>
        <v>0</v>
      </c>
      <c r="K246" s="921">
        <f t="shared" si="77"/>
        <v>0</v>
      </c>
      <c r="L246" s="921">
        <f t="shared" si="77"/>
        <v>0</v>
      </c>
      <c r="M246" s="921">
        <f t="shared" si="78"/>
        <v>0</v>
      </c>
      <c r="N246" s="921">
        <f t="shared" si="78"/>
        <v>0</v>
      </c>
      <c r="O246" s="935"/>
      <c r="P246" s="852"/>
      <c r="Q246" s="852"/>
      <c r="R246" s="6"/>
    </row>
    <row r="247" spans="1:18" x14ac:dyDescent="0.2">
      <c r="A247" s="852"/>
      <c r="B247" s="852"/>
      <c r="C247" s="933"/>
      <c r="D247" s="884" t="s">
        <v>94</v>
      </c>
      <c r="E247" s="884"/>
      <c r="F247" s="885"/>
      <c r="G247" s="885"/>
      <c r="H247" s="921"/>
      <c r="I247" s="921">
        <f t="shared" si="77"/>
        <v>0</v>
      </c>
      <c r="J247" s="921">
        <f t="shared" si="77"/>
        <v>0</v>
      </c>
      <c r="K247" s="921">
        <f t="shared" si="77"/>
        <v>0</v>
      </c>
      <c r="L247" s="921">
        <f t="shared" si="77"/>
        <v>0</v>
      </c>
      <c r="M247" s="921">
        <f t="shared" si="78"/>
        <v>0</v>
      </c>
      <c r="N247" s="921">
        <f t="shared" si="78"/>
        <v>0</v>
      </c>
      <c r="O247" s="935"/>
      <c r="P247" s="852"/>
      <c r="Q247" s="852"/>
      <c r="R247" s="6"/>
    </row>
    <row r="248" spans="1:18" x14ac:dyDescent="0.2">
      <c r="A248" s="852"/>
      <c r="B248" s="852"/>
      <c r="C248" s="933"/>
      <c r="D248" s="884" t="s">
        <v>188</v>
      </c>
      <c r="E248" s="884"/>
      <c r="F248" s="885"/>
      <c r="G248" s="885"/>
      <c r="H248" s="921"/>
      <c r="I248" s="921">
        <f t="shared" ref="I248:M248" si="79">I255+I262+I264</f>
        <v>9004629.5710416678</v>
      </c>
      <c r="J248" s="921">
        <f t="shared" si="79"/>
        <v>8598434.0912500005</v>
      </c>
      <c r="K248" s="921">
        <f t="shared" si="79"/>
        <v>8703779.300347222</v>
      </c>
      <c r="L248" s="921">
        <f t="shared" si="79"/>
        <v>8699369.2299999986</v>
      </c>
      <c r="M248" s="921">
        <f t="shared" si="79"/>
        <v>8705855.709999999</v>
      </c>
      <c r="N248" s="921">
        <f>N255+N262+N264</f>
        <v>8607523.629999999</v>
      </c>
      <c r="O248" s="935"/>
      <c r="P248" s="852"/>
      <c r="Q248" s="852"/>
      <c r="R248" s="6"/>
    </row>
    <row r="249" spans="1:18" x14ac:dyDescent="0.2">
      <c r="A249" s="852"/>
      <c r="B249" s="852"/>
      <c r="C249" s="933"/>
      <c r="D249" s="884"/>
      <c r="E249" s="884"/>
      <c r="F249" s="885"/>
      <c r="G249" s="885"/>
      <c r="H249" s="885"/>
      <c r="I249" s="885"/>
      <c r="J249" s="885"/>
      <c r="K249" s="885"/>
      <c r="L249" s="885"/>
      <c r="M249" s="885"/>
      <c r="N249" s="885"/>
      <c r="O249" s="936"/>
      <c r="P249" s="852"/>
      <c r="Q249" s="852"/>
      <c r="R249" s="6"/>
    </row>
    <row r="250" spans="1:18" x14ac:dyDescent="0.2">
      <c r="A250" s="852"/>
      <c r="B250" s="852"/>
      <c r="C250" s="933"/>
      <c r="D250" s="920" t="s">
        <v>21</v>
      </c>
      <c r="E250" s="884"/>
      <c r="F250" s="885"/>
      <c r="G250" s="885"/>
      <c r="H250" s="885"/>
      <c r="I250" s="885"/>
      <c r="J250" s="885"/>
      <c r="K250" s="885"/>
      <c r="L250" s="885"/>
      <c r="M250" s="885"/>
      <c r="N250" s="885"/>
      <c r="O250" s="936"/>
      <c r="P250" s="852"/>
      <c r="Q250" s="852"/>
      <c r="R250" s="6"/>
    </row>
    <row r="251" spans="1:18" x14ac:dyDescent="0.2">
      <c r="A251" s="852"/>
      <c r="B251" s="852"/>
      <c r="C251" s="933"/>
      <c r="D251" s="884" t="s">
        <v>187</v>
      </c>
      <c r="E251" s="884"/>
      <c r="F251" s="885"/>
      <c r="G251" s="885"/>
      <c r="H251" s="921"/>
      <c r="I251" s="921">
        <f>5/12*H32+7/12*I32</f>
        <v>5458296.5773946028</v>
      </c>
      <c r="J251" s="921">
        <f t="shared" ref="J251:N251" si="80">5/12*I32+7/12*J32</f>
        <v>9230313.6029127594</v>
      </c>
      <c r="K251" s="921">
        <f t="shared" si="80"/>
        <v>9274007.0577932335</v>
      </c>
      <c r="L251" s="921">
        <f t="shared" si="80"/>
        <v>9369893.3235493954</v>
      </c>
      <c r="M251" s="921">
        <f t="shared" si="80"/>
        <v>9369893.3235493954</v>
      </c>
      <c r="N251" s="921">
        <f t="shared" si="80"/>
        <v>9369893.3235493954</v>
      </c>
      <c r="O251" s="936"/>
      <c r="P251" s="852"/>
      <c r="Q251" s="852"/>
      <c r="R251" s="6"/>
    </row>
    <row r="252" spans="1:18" x14ac:dyDescent="0.2">
      <c r="A252" s="852"/>
      <c r="B252" s="852"/>
      <c r="C252" s="933"/>
      <c r="D252" s="884" t="s">
        <v>168</v>
      </c>
      <c r="E252" s="884"/>
      <c r="F252" s="885"/>
      <c r="G252" s="885"/>
      <c r="H252" s="921"/>
      <c r="I252" s="921">
        <f>5/12*H64+7/12*I64</f>
        <v>0</v>
      </c>
      <c r="J252" s="921">
        <f t="shared" ref="J252:N252" si="81">5/12*I64+7/12*J64</f>
        <v>0</v>
      </c>
      <c r="K252" s="921">
        <f t="shared" si="81"/>
        <v>0</v>
      </c>
      <c r="L252" s="921">
        <f t="shared" si="81"/>
        <v>0</v>
      </c>
      <c r="M252" s="921">
        <f t="shared" si="81"/>
        <v>0</v>
      </c>
      <c r="N252" s="921">
        <f t="shared" si="81"/>
        <v>0</v>
      </c>
      <c r="O252" s="936"/>
      <c r="P252" s="852"/>
      <c r="Q252" s="852"/>
      <c r="R252" s="6"/>
    </row>
    <row r="253" spans="1:18" x14ac:dyDescent="0.2">
      <c r="A253" s="852"/>
      <c r="B253" s="852"/>
      <c r="C253" s="933"/>
      <c r="D253" s="884" t="s">
        <v>181</v>
      </c>
      <c r="E253" s="884"/>
      <c r="F253" s="885"/>
      <c r="G253" s="885"/>
      <c r="H253" s="921"/>
      <c r="I253" s="921">
        <f>5/12*H83+7/12*I83</f>
        <v>0</v>
      </c>
      <c r="J253" s="921">
        <f t="shared" ref="J253:N253" si="82">5/12*I83+7/12*J83</f>
        <v>0</v>
      </c>
      <c r="K253" s="921">
        <f t="shared" si="82"/>
        <v>0</v>
      </c>
      <c r="L253" s="921">
        <f t="shared" si="82"/>
        <v>0</v>
      </c>
      <c r="M253" s="921">
        <f t="shared" si="82"/>
        <v>0</v>
      </c>
      <c r="N253" s="921">
        <f t="shared" si="82"/>
        <v>0</v>
      </c>
      <c r="O253" s="936"/>
      <c r="P253" s="852"/>
      <c r="Q253" s="852"/>
      <c r="R253" s="6"/>
    </row>
    <row r="254" spans="1:18" x14ac:dyDescent="0.2">
      <c r="A254" s="852"/>
      <c r="B254" s="852"/>
      <c r="C254" s="933"/>
      <c r="D254" s="884" t="s">
        <v>94</v>
      </c>
      <c r="E254" s="884"/>
      <c r="F254" s="885"/>
      <c r="G254" s="885"/>
      <c r="H254" s="921"/>
      <c r="I254" s="921">
        <f>5/12*(H88-H83)+7/12*(I88-I83)</f>
        <v>0</v>
      </c>
      <c r="J254" s="921">
        <f t="shared" ref="J254:N254" si="83">5/12*(I88-I83)+7/12*(J88-J83)</f>
        <v>0</v>
      </c>
      <c r="K254" s="921">
        <f t="shared" si="83"/>
        <v>0</v>
      </c>
      <c r="L254" s="921">
        <f t="shared" si="83"/>
        <v>0</v>
      </c>
      <c r="M254" s="921">
        <f t="shared" si="83"/>
        <v>0</v>
      </c>
      <c r="N254" s="921">
        <f t="shared" si="83"/>
        <v>0</v>
      </c>
      <c r="O254" s="936"/>
      <c r="P254" s="852"/>
      <c r="Q254" s="852"/>
      <c r="R254" s="6"/>
    </row>
    <row r="255" spans="1:18" x14ac:dyDescent="0.2">
      <c r="A255" s="852"/>
      <c r="B255" s="852"/>
      <c r="C255" s="933"/>
      <c r="D255" s="884" t="s">
        <v>188</v>
      </c>
      <c r="E255" s="884"/>
      <c r="F255" s="885"/>
      <c r="G255" s="885"/>
      <c r="H255" s="921"/>
      <c r="I255" s="921">
        <f>5/12*H137+7/12*I137</f>
        <v>2606885.0708333338</v>
      </c>
      <c r="J255" s="921">
        <f t="shared" ref="J255:N255" si="84">5/12*I137+7/12*J137</f>
        <v>2081763.0850000002</v>
      </c>
      <c r="K255" s="921">
        <f t="shared" si="84"/>
        <v>2170489.3200000003</v>
      </c>
      <c r="L255" s="921">
        <f t="shared" si="84"/>
        <v>2195580.7199999997</v>
      </c>
      <c r="M255" s="921">
        <f t="shared" si="84"/>
        <v>2195580.7199999997</v>
      </c>
      <c r="N255" s="921">
        <f t="shared" si="84"/>
        <v>2195580.7199999997</v>
      </c>
      <c r="O255" s="936"/>
      <c r="P255" s="852"/>
      <c r="Q255" s="852"/>
      <c r="R255" s="6"/>
    </row>
    <row r="256" spans="1:18" x14ac:dyDescent="0.2">
      <c r="A256" s="852"/>
      <c r="B256" s="852"/>
      <c r="C256" s="933"/>
      <c r="D256" s="884"/>
      <c r="E256" s="884"/>
      <c r="F256" s="885"/>
      <c r="G256" s="885"/>
      <c r="H256" s="885"/>
      <c r="I256" s="885"/>
      <c r="J256" s="885"/>
      <c r="K256" s="885"/>
      <c r="L256" s="885"/>
      <c r="M256" s="885"/>
      <c r="N256" s="885"/>
      <c r="O256" s="936"/>
      <c r="P256" s="852"/>
      <c r="Q256" s="852"/>
      <c r="R256" s="6"/>
    </row>
    <row r="257" spans="1:18" x14ac:dyDescent="0.2">
      <c r="A257" s="852"/>
      <c r="B257" s="852"/>
      <c r="C257" s="933"/>
      <c r="D257" s="920" t="s">
        <v>22</v>
      </c>
      <c r="E257" s="884"/>
      <c r="F257" s="885"/>
      <c r="G257" s="885"/>
      <c r="H257" s="885"/>
      <c r="I257" s="885"/>
      <c r="J257" s="885"/>
      <c r="K257" s="885"/>
      <c r="L257" s="885"/>
      <c r="M257" s="885"/>
      <c r="N257" s="885"/>
      <c r="O257" s="936"/>
      <c r="P257" s="852"/>
      <c r="Q257" s="852"/>
      <c r="R257" s="6"/>
    </row>
    <row r="258" spans="1:18" x14ac:dyDescent="0.2">
      <c r="A258" s="852"/>
      <c r="B258" s="852"/>
      <c r="C258" s="933"/>
      <c r="D258" s="861" t="s">
        <v>870</v>
      </c>
      <c r="E258" s="884"/>
      <c r="F258" s="885"/>
      <c r="G258" s="885"/>
      <c r="H258" s="921"/>
      <c r="I258" s="921">
        <f t="shared" ref="I258:M258" si="85">I237</f>
        <v>9934914.0214920994</v>
      </c>
      <c r="J258" s="921">
        <f t="shared" si="85"/>
        <v>9342158.6999999993</v>
      </c>
      <c r="K258" s="921">
        <f t="shared" si="85"/>
        <v>9757444.5600000005</v>
      </c>
      <c r="L258" s="921">
        <f t="shared" si="85"/>
        <v>9757444.5600000005</v>
      </c>
      <c r="M258" s="921">
        <f t="shared" si="85"/>
        <v>9757444.5600000005</v>
      </c>
      <c r="N258" s="921">
        <f>N237</f>
        <v>9757444.5600000005</v>
      </c>
      <c r="O258" s="936"/>
      <c r="P258" s="852"/>
      <c r="Q258" s="852"/>
      <c r="R258" s="6"/>
    </row>
    <row r="259" spans="1:18" x14ac:dyDescent="0.2">
      <c r="A259" s="852"/>
      <c r="B259" s="852"/>
      <c r="C259" s="933"/>
      <c r="D259" s="884" t="s">
        <v>168</v>
      </c>
      <c r="E259" s="884"/>
      <c r="F259" s="885"/>
      <c r="G259" s="885"/>
      <c r="H259" s="922"/>
      <c r="I259" s="922">
        <f>5/12*H73+7/12*I73</f>
        <v>0</v>
      </c>
      <c r="J259" s="922">
        <f t="shared" ref="J259:N259" si="86">5/12*I73+7/12*J73</f>
        <v>0</v>
      </c>
      <c r="K259" s="922">
        <f t="shared" si="86"/>
        <v>0</v>
      </c>
      <c r="L259" s="922">
        <f t="shared" si="86"/>
        <v>0</v>
      </c>
      <c r="M259" s="922">
        <f t="shared" si="86"/>
        <v>0</v>
      </c>
      <c r="N259" s="922">
        <f t="shared" si="86"/>
        <v>0</v>
      </c>
      <c r="O259" s="936"/>
      <c r="P259" s="852"/>
      <c r="Q259" s="852"/>
      <c r="R259" s="6"/>
    </row>
    <row r="260" spans="1:18" x14ac:dyDescent="0.2">
      <c r="A260" s="852"/>
      <c r="B260" s="852"/>
      <c r="C260" s="933"/>
      <c r="D260" s="884" t="s">
        <v>181</v>
      </c>
      <c r="E260" s="884"/>
      <c r="F260" s="885"/>
      <c r="G260" s="885"/>
      <c r="H260" s="922"/>
      <c r="I260" s="922">
        <f>5/12*H92+7/12*I92</f>
        <v>0</v>
      </c>
      <c r="J260" s="922">
        <f t="shared" ref="J260:N260" si="87">5/12*I92+7/12*J92</f>
        <v>0</v>
      </c>
      <c r="K260" s="922">
        <f t="shared" si="87"/>
        <v>0</v>
      </c>
      <c r="L260" s="922">
        <f t="shared" si="87"/>
        <v>0</v>
      </c>
      <c r="M260" s="922">
        <f t="shared" si="87"/>
        <v>0</v>
      </c>
      <c r="N260" s="922">
        <f t="shared" si="87"/>
        <v>0</v>
      </c>
      <c r="O260" s="936"/>
      <c r="P260" s="852"/>
      <c r="Q260" s="852"/>
    </row>
    <row r="261" spans="1:18" x14ac:dyDescent="0.2">
      <c r="A261" s="852"/>
      <c r="B261" s="852"/>
      <c r="C261" s="933"/>
      <c r="D261" s="884" t="s">
        <v>94</v>
      </c>
      <c r="E261" s="884"/>
      <c r="F261" s="885"/>
      <c r="G261" s="885"/>
      <c r="H261" s="922"/>
      <c r="I261" s="922">
        <f>5/12*(H97-H92)+7/12*(I97-I92)</f>
        <v>0</v>
      </c>
      <c r="J261" s="922">
        <f t="shared" ref="J261:N261" si="88">5/12*(I97-I92)+7/12*(J97-J92)</f>
        <v>0</v>
      </c>
      <c r="K261" s="922">
        <f t="shared" si="88"/>
        <v>0</v>
      </c>
      <c r="L261" s="922">
        <f t="shared" si="88"/>
        <v>0</v>
      </c>
      <c r="M261" s="922">
        <f t="shared" si="88"/>
        <v>0</v>
      </c>
      <c r="N261" s="922">
        <f t="shared" si="88"/>
        <v>0</v>
      </c>
      <c r="O261" s="936"/>
      <c r="P261" s="852"/>
      <c r="Q261" s="852"/>
    </row>
    <row r="262" spans="1:18" x14ac:dyDescent="0.2">
      <c r="A262" s="852"/>
      <c r="B262" s="852"/>
      <c r="C262" s="933"/>
      <c r="D262" s="861" t="s">
        <v>544</v>
      </c>
      <c r="E262" s="884"/>
      <c r="F262" s="885"/>
      <c r="G262" s="885"/>
      <c r="H262" s="1416"/>
      <c r="I262" s="1416">
        <f>5/12*H158+7/12*I158</f>
        <v>6323333.2402083334</v>
      </c>
      <c r="J262" s="1416">
        <f t="shared" ref="J262:N262" si="89">5/12*I158+7/12*J158</f>
        <v>6436356.9262499996</v>
      </c>
      <c r="K262" s="1416">
        <f t="shared" si="89"/>
        <v>6447468.8603472225</v>
      </c>
      <c r="L262" s="1416">
        <f t="shared" si="89"/>
        <v>6411942.9100000001</v>
      </c>
      <c r="M262" s="1416">
        <f t="shared" si="89"/>
        <v>6411942.9100000001</v>
      </c>
      <c r="N262" s="1416">
        <f t="shared" si="89"/>
        <v>6411942.9100000001</v>
      </c>
      <c r="O262" s="936"/>
      <c r="P262" s="852"/>
      <c r="Q262" s="852"/>
    </row>
    <row r="263" spans="1:18" x14ac:dyDescent="0.2">
      <c r="A263" s="852"/>
      <c r="B263" s="852"/>
      <c r="C263" s="933"/>
      <c r="D263" s="1388"/>
      <c r="E263" s="859"/>
      <c r="F263" s="860"/>
      <c r="G263" s="860"/>
      <c r="H263" s="860"/>
      <c r="I263" s="860"/>
      <c r="J263" s="860"/>
      <c r="K263" s="860"/>
      <c r="L263" s="860"/>
      <c r="M263" s="860"/>
      <c r="N263" s="860"/>
      <c r="O263" s="934"/>
      <c r="P263" s="852"/>
      <c r="Q263" s="852"/>
    </row>
    <row r="264" spans="1:18" x14ac:dyDescent="0.2">
      <c r="A264" s="852"/>
      <c r="B264" s="852"/>
      <c r="C264" s="933"/>
      <c r="D264" s="923" t="s">
        <v>499</v>
      </c>
      <c r="E264" s="862"/>
      <c r="F264" s="863"/>
      <c r="G264" s="863"/>
      <c r="H264" s="924"/>
      <c r="I264" s="924">
        <f>' sal SWV'!U67</f>
        <v>74411.259999999995</v>
      </c>
      <c r="J264" s="924">
        <f>' sal SWV'!U99</f>
        <v>80314.080000000002</v>
      </c>
      <c r="K264" s="924">
        <f>' sal SWV'!U131</f>
        <v>85821.119999999995</v>
      </c>
      <c r="L264" s="924">
        <f>' sal SWV'!U163</f>
        <v>91845.6</v>
      </c>
      <c r="M264" s="924">
        <f>' sal SWV'!U195</f>
        <v>98332.08</v>
      </c>
      <c r="N264" s="924">
        <f>' sal SWV'!V195</f>
        <v>0</v>
      </c>
      <c r="O264" s="934"/>
      <c r="P264" s="852"/>
      <c r="Q264" s="852"/>
    </row>
    <row r="265" spans="1:18" x14ac:dyDescent="0.2">
      <c r="A265" s="852"/>
      <c r="B265" s="852"/>
      <c r="C265" s="933"/>
      <c r="D265" s="923" t="s">
        <v>436</v>
      </c>
      <c r="E265" s="862"/>
      <c r="F265" s="863"/>
      <c r="G265" s="863"/>
      <c r="H265" s="924"/>
      <c r="I265" s="924">
        <f t="shared" ref="I265:M265" si="90">SUM(I244:I247)</f>
        <v>15393210.598886702</v>
      </c>
      <c r="J265" s="924">
        <f t="shared" si="90"/>
        <v>18572472.302912757</v>
      </c>
      <c r="K265" s="924">
        <f t="shared" si="90"/>
        <v>19031451.617793232</v>
      </c>
      <c r="L265" s="924">
        <f t="shared" si="90"/>
        <v>19127337.883549396</v>
      </c>
      <c r="M265" s="924">
        <f t="shared" si="90"/>
        <v>19127337.883549396</v>
      </c>
      <c r="N265" s="924">
        <f>SUM(N244:N247)</f>
        <v>19127337.883549396</v>
      </c>
      <c r="O265" s="934"/>
      <c r="P265" s="852"/>
      <c r="Q265" s="852"/>
    </row>
    <row r="266" spans="1:18" x14ac:dyDescent="0.2">
      <c r="A266" s="852"/>
      <c r="B266" s="852"/>
      <c r="C266" s="933"/>
      <c r="D266" s="923" t="s">
        <v>535</v>
      </c>
      <c r="E266" s="862"/>
      <c r="F266" s="863"/>
      <c r="G266" s="863"/>
      <c r="H266" s="924"/>
      <c r="I266" s="924">
        <f>5/12*H175+7/12*I175</f>
        <v>8444379.7443055548</v>
      </c>
      <c r="J266" s="924">
        <f>5/12*I175+7/12*J175</f>
        <v>8610682.8947222233</v>
      </c>
      <c r="K266" s="924">
        <f>5/12*J175+7/12*K175</f>
        <v>8716250.0670138896</v>
      </c>
      <c r="L266" s="924">
        <f>5/12*K175+7/12*L175</f>
        <v>8711826.5216666665</v>
      </c>
      <c r="M266" s="924">
        <f>L175</f>
        <v>8714416.9299999997</v>
      </c>
      <c r="N266" s="924">
        <f>M175</f>
        <v>8721111.3099999987</v>
      </c>
      <c r="O266" s="934"/>
      <c r="P266" s="852"/>
      <c r="Q266" s="852"/>
    </row>
    <row r="267" spans="1:18" x14ac:dyDescent="0.2">
      <c r="A267" s="852"/>
      <c r="B267" s="852"/>
      <c r="C267" s="933"/>
      <c r="D267" s="923" t="s">
        <v>534</v>
      </c>
      <c r="E267" s="862"/>
      <c r="F267" s="863"/>
      <c r="G267" s="863"/>
      <c r="H267" s="924"/>
      <c r="I267" s="924">
        <f>5/12*I213+7/12*J213</f>
        <v>12345</v>
      </c>
      <c r="J267" s="924">
        <f>5/12*J213+7/12*K213</f>
        <v>12345</v>
      </c>
      <c r="K267" s="924">
        <f>5/12*K213+7/12*L213</f>
        <v>12345</v>
      </c>
      <c r="L267" s="924">
        <f>5/12*L213+7/12*M213</f>
        <v>12345</v>
      </c>
      <c r="M267" s="924">
        <f>M213</f>
        <v>12345</v>
      </c>
      <c r="N267" s="924">
        <f>N213</f>
        <v>12345</v>
      </c>
      <c r="O267" s="934"/>
      <c r="P267" s="852"/>
      <c r="Q267" s="852"/>
    </row>
    <row r="268" spans="1:18" x14ac:dyDescent="0.2">
      <c r="A268" s="852"/>
      <c r="B268" s="852"/>
      <c r="C268" s="933"/>
      <c r="D268" s="923" t="s">
        <v>894</v>
      </c>
      <c r="E268" s="862"/>
      <c r="F268" s="863"/>
      <c r="G268" s="863"/>
      <c r="H268" s="924"/>
      <c r="I268" s="924">
        <f>' sal SWV'!AL67</f>
        <v>0</v>
      </c>
      <c r="J268" s="924">
        <f>' sal SWV'!AL99</f>
        <v>0</v>
      </c>
      <c r="K268" s="924">
        <f>' sal SWV'!AL131</f>
        <v>2507.7600000000002</v>
      </c>
      <c r="L268" s="924">
        <f>' sal SWV'!AL163</f>
        <v>0</v>
      </c>
      <c r="M268" s="924">
        <f>' sal SWV'!AL195</f>
        <v>0</v>
      </c>
      <c r="N268" s="924">
        <f>' sal SWV'!AM195</f>
        <v>0</v>
      </c>
      <c r="O268" s="934"/>
      <c r="P268" s="852"/>
      <c r="Q268" s="852"/>
    </row>
    <row r="269" spans="1:18" x14ac:dyDescent="0.2">
      <c r="A269" s="852"/>
      <c r="B269" s="852"/>
      <c r="C269" s="933"/>
      <c r="D269" s="862"/>
      <c r="E269" s="862"/>
      <c r="F269" s="863"/>
      <c r="G269" s="863"/>
      <c r="H269" s="925"/>
      <c r="I269" s="925"/>
      <c r="J269" s="925"/>
      <c r="K269" s="925"/>
      <c r="L269" s="925"/>
      <c r="M269" s="925"/>
      <c r="N269" s="925"/>
      <c r="O269" s="934"/>
      <c r="P269" s="852"/>
      <c r="Q269" s="852"/>
    </row>
    <row r="270" spans="1:18" x14ac:dyDescent="0.2">
      <c r="A270" s="852"/>
      <c r="B270" s="852"/>
      <c r="C270" s="933"/>
      <c r="D270" s="926" t="s">
        <v>536</v>
      </c>
      <c r="E270" s="862"/>
      <c r="F270" s="863"/>
      <c r="G270" s="863"/>
      <c r="H270" s="927"/>
      <c r="I270" s="927">
        <f t="shared" ref="I270:M270" si="91">+I265-I266</f>
        <v>6948830.8545811474</v>
      </c>
      <c r="J270" s="927">
        <f t="shared" si="91"/>
        <v>9961789.4081905335</v>
      </c>
      <c r="K270" s="927">
        <f t="shared" si="91"/>
        <v>10315201.550779343</v>
      </c>
      <c r="L270" s="927">
        <f t="shared" si="91"/>
        <v>10415511.361882729</v>
      </c>
      <c r="M270" s="927">
        <f t="shared" si="91"/>
        <v>10412920.953549396</v>
      </c>
      <c r="N270" s="927">
        <f>+N265-N266</f>
        <v>10406226.573549397</v>
      </c>
      <c r="O270" s="934"/>
      <c r="P270" s="852"/>
      <c r="Q270" s="852"/>
    </row>
    <row r="271" spans="1:18" x14ac:dyDescent="0.2">
      <c r="A271" s="852"/>
      <c r="B271" s="852"/>
      <c r="C271" s="933"/>
      <c r="D271" s="926"/>
      <c r="E271" s="862"/>
      <c r="F271" s="863"/>
      <c r="G271" s="863"/>
      <c r="H271" s="927"/>
      <c r="I271" s="927"/>
      <c r="J271" s="927"/>
      <c r="K271" s="927"/>
      <c r="L271" s="927"/>
      <c r="M271" s="927"/>
      <c r="N271" s="927"/>
      <c r="O271" s="934"/>
      <c r="P271" s="852"/>
      <c r="Q271" s="852"/>
      <c r="R271" s="6"/>
    </row>
    <row r="272" spans="1:18" x14ac:dyDescent="0.2">
      <c r="A272" s="852"/>
      <c r="B272" s="852"/>
      <c r="C272" s="1365"/>
      <c r="D272" s="920" t="s">
        <v>793</v>
      </c>
      <c r="E272" s="920"/>
      <c r="F272" s="1366"/>
      <c r="G272" s="1366"/>
      <c r="H272" s="1367"/>
      <c r="I272" s="1367">
        <f>5/12*H142+7/12*I142</f>
        <v>6137365.4585416671</v>
      </c>
      <c r="J272" s="1367">
        <f>5/12*I142+7/12*J142</f>
        <v>6265500.4370833337</v>
      </c>
      <c r="K272" s="1367">
        <f>5/12*J142+7/12*K142</f>
        <v>6294631.550347222</v>
      </c>
      <c r="L272" s="1367">
        <f>5/12*K142+7/12*L142</f>
        <v>6259105.5999999996</v>
      </c>
      <c r="M272" s="1367">
        <f>L142</f>
        <v>6259105.5999999996</v>
      </c>
      <c r="N272" s="1367">
        <f>M142</f>
        <v>6259105.5999999996</v>
      </c>
      <c r="O272" s="1368"/>
      <c r="P272" s="852"/>
      <c r="Q272" s="852"/>
      <c r="R272" s="6"/>
    </row>
    <row r="273" spans="1:18" x14ac:dyDescent="0.2">
      <c r="A273" s="852"/>
      <c r="B273" s="852"/>
      <c r="C273" s="1365"/>
      <c r="D273" s="920" t="s">
        <v>794</v>
      </c>
      <c r="E273" s="920"/>
      <c r="F273" s="1366"/>
      <c r="G273" s="1366"/>
      <c r="H273" s="1367"/>
      <c r="I273" s="1367">
        <f>5/12*I143+7/12*J143</f>
        <v>170856.48916666667</v>
      </c>
      <c r="J273" s="1367">
        <f>5/12*J143+7/12*K143</f>
        <v>152837.31</v>
      </c>
      <c r="K273" s="1367">
        <f>5/12*K143+7/12*L143</f>
        <v>152837.31</v>
      </c>
      <c r="L273" s="1367">
        <f>5/12*L143+7/12*M143</f>
        <v>152837.31</v>
      </c>
      <c r="M273" s="1367">
        <f>M143</f>
        <v>152837.31</v>
      </c>
      <c r="N273" s="1367">
        <f>N143</f>
        <v>152837.31</v>
      </c>
      <c r="O273" s="1368"/>
      <c r="P273" s="852"/>
      <c r="Q273" s="852"/>
      <c r="R273" s="6"/>
    </row>
    <row r="274" spans="1:18" x14ac:dyDescent="0.2">
      <c r="A274" s="852"/>
      <c r="B274" s="852"/>
      <c r="C274" s="1365"/>
      <c r="D274" s="920" t="s">
        <v>795</v>
      </c>
      <c r="E274" s="920"/>
      <c r="F274" s="1366"/>
      <c r="G274" s="1366"/>
      <c r="H274" s="1367"/>
      <c r="I274" s="1367">
        <f t="shared" ref="I274:L275" si="92">5/12*I220+7/12*J220</f>
        <v>52026.216666666674</v>
      </c>
      <c r="J274" s="1367">
        <f t="shared" si="92"/>
        <v>0</v>
      </c>
      <c r="K274" s="1367">
        <f t="shared" si="92"/>
        <v>0</v>
      </c>
      <c r="L274" s="1367">
        <f t="shared" si="92"/>
        <v>0</v>
      </c>
      <c r="M274" s="1367">
        <f>M220</f>
        <v>0</v>
      </c>
      <c r="N274" s="1367">
        <f>N220</f>
        <v>0</v>
      </c>
      <c r="O274" s="1368"/>
      <c r="P274" s="852"/>
      <c r="Q274" s="852"/>
      <c r="R274" s="6"/>
    </row>
    <row r="275" spans="1:18" x14ac:dyDescent="0.2">
      <c r="A275" s="852"/>
      <c r="B275" s="852"/>
      <c r="C275" s="1365"/>
      <c r="D275" s="920" t="s">
        <v>796</v>
      </c>
      <c r="E275" s="920"/>
      <c r="F275" s="1366"/>
      <c r="G275" s="1366"/>
      <c r="H275" s="1367"/>
      <c r="I275" s="1367">
        <f t="shared" si="92"/>
        <v>2029736.8683333336</v>
      </c>
      <c r="J275" s="1367">
        <f t="shared" si="92"/>
        <v>2170489.3200000003</v>
      </c>
      <c r="K275" s="1367">
        <f t="shared" si="92"/>
        <v>2195580.7199999997</v>
      </c>
      <c r="L275" s="1367">
        <f t="shared" si="92"/>
        <v>2195580.7199999997</v>
      </c>
      <c r="M275" s="1367">
        <f>M221</f>
        <v>2195580.7199999997</v>
      </c>
      <c r="N275" s="1367">
        <f>N221</f>
        <v>2195580.7199999997</v>
      </c>
      <c r="O275" s="1368"/>
      <c r="P275" s="852"/>
      <c r="Q275" s="852"/>
      <c r="R275" s="6"/>
    </row>
    <row r="276" spans="1:18" x14ac:dyDescent="0.2">
      <c r="A276" s="852"/>
      <c r="B276" s="852"/>
      <c r="C276" s="1365"/>
      <c r="D276" s="920" t="s">
        <v>797</v>
      </c>
      <c r="E276" s="920"/>
      <c r="F276" s="1366"/>
      <c r="G276" s="1366"/>
      <c r="H276" s="1367"/>
      <c r="I276" s="1367">
        <f>5/12*(I127+I148)+7/12*(J127+J148)</f>
        <v>0</v>
      </c>
      <c r="J276" s="1367">
        <f>5/12*(J127+J148)+7/12*(K127+K148)</f>
        <v>0</v>
      </c>
      <c r="K276" s="1367">
        <f>5/12*(K127+K148)+7/12*(L127+L148)</f>
        <v>0</v>
      </c>
      <c r="L276" s="1367">
        <f>5/12*(L127+L148)+7/12*(M127+M148)</f>
        <v>0</v>
      </c>
      <c r="M276" s="1367">
        <f>(M127+M148)</f>
        <v>0</v>
      </c>
      <c r="N276" s="1367">
        <f>(N127+N148)</f>
        <v>0</v>
      </c>
      <c r="O276" s="1368"/>
      <c r="P276" s="852"/>
      <c r="Q276" s="852"/>
      <c r="R276" s="6"/>
    </row>
    <row r="277" spans="1:18" x14ac:dyDescent="0.2">
      <c r="A277" s="852"/>
      <c r="B277" s="852"/>
      <c r="C277" s="933"/>
      <c r="D277" s="1387" t="s">
        <v>798</v>
      </c>
      <c r="E277" s="862"/>
      <c r="F277" s="863"/>
      <c r="G277" s="863"/>
      <c r="H277" s="1367"/>
      <c r="I277" s="1367">
        <f>5/12*(SUM(I128:I136)+I126+SUM(I149:I157)+I146+I172)+7/12*(SUM(J128:J136)+J126+SUM(J149:J157)+J146+J172)+I264</f>
        <v>86756.26</v>
      </c>
      <c r="J277" s="1367">
        <f>5/12*(SUM(J128:J136)+J126+SUM(J149:J157)+J146+J172)+7/12*(SUM(K128:K136)+K126+SUM(K149:K157)+K146+K172)+J264</f>
        <v>92659.08</v>
      </c>
      <c r="K277" s="1367">
        <f>5/12*(SUM(K128:K136)+K126+SUM(K149:K157)+K146+K172)+7/12*(SUM(L128:L136)+L126+SUM(L149:L157)+L146+L172)+K264</f>
        <v>98166.12</v>
      </c>
      <c r="L277" s="1367">
        <f>5/12*(SUM(L128:L136)+L126+SUM(L149:L157)+L146+L172)+7/12*(SUM(M128:M136)+M126+SUM(M149:M157)+M146+M172)+L264</f>
        <v>104190.6</v>
      </c>
      <c r="M277" s="1367">
        <f>(SUM(M128:M136)+M126+SUM(M149:M157)+M146+M172)+M264</f>
        <v>110677.08</v>
      </c>
      <c r="N277" s="1367">
        <f>(SUM(N128:N136)+N126+SUM(N149:N157)+N146+N172)+N264</f>
        <v>12345</v>
      </c>
      <c r="O277" s="934"/>
      <c r="P277" s="852"/>
      <c r="Q277" s="852"/>
      <c r="R277" s="6"/>
    </row>
    <row r="278" spans="1:18" ht="13.5" thickBot="1" x14ac:dyDescent="0.25">
      <c r="B278" s="852"/>
      <c r="C278" s="1417"/>
      <c r="D278" s="1418"/>
      <c r="E278" s="1419"/>
      <c r="F278" s="1420"/>
      <c r="G278" s="1420"/>
      <c r="H278" s="1421"/>
      <c r="I278" s="1421"/>
      <c r="J278" s="1421"/>
      <c r="K278" s="1421"/>
      <c r="L278" s="1421"/>
      <c r="M278" s="1421"/>
      <c r="N278" s="1421"/>
      <c r="O278" s="1422"/>
      <c r="P278" s="852"/>
      <c r="Q278" s="6"/>
      <c r="R278" s="6"/>
    </row>
    <row r="279" spans="1:18" ht="13.5" thickTop="1" x14ac:dyDescent="0.2">
      <c r="B279" s="852"/>
      <c r="C279" s="852"/>
      <c r="D279" s="852"/>
      <c r="E279" s="852"/>
      <c r="F279" s="915"/>
      <c r="G279" s="915"/>
      <c r="H279" s="915"/>
      <c r="I279" s="915"/>
      <c r="J279" s="915"/>
      <c r="K279" s="915"/>
      <c r="L279" s="915"/>
      <c r="M279" s="915"/>
      <c r="N279" s="915"/>
      <c r="O279" s="852"/>
      <c r="P279" s="852"/>
      <c r="Q279" s="6"/>
      <c r="R279" s="6"/>
    </row>
    <row r="280" spans="1:18" x14ac:dyDescent="0.2">
      <c r="B280" s="852"/>
      <c r="C280" s="852"/>
      <c r="D280" s="852"/>
      <c r="E280" s="852"/>
      <c r="F280" s="915"/>
      <c r="G280" s="915"/>
      <c r="H280" s="915"/>
      <c r="I280" s="915"/>
      <c r="J280" s="915"/>
      <c r="K280" s="915"/>
      <c r="L280" s="915"/>
      <c r="M280" s="915"/>
      <c r="N280" s="915"/>
      <c r="O280" s="852"/>
      <c r="P280" s="852"/>
      <c r="Q280" s="6"/>
      <c r="R280" s="6"/>
    </row>
    <row r="281" spans="1:18" x14ac:dyDescent="0.2">
      <c r="B281" s="852"/>
      <c r="C281" s="852"/>
      <c r="D281" s="852"/>
      <c r="E281" s="852"/>
      <c r="F281" s="915"/>
      <c r="G281" s="915"/>
      <c r="H281" s="915"/>
      <c r="I281" s="915"/>
      <c r="J281" s="915"/>
      <c r="K281" s="915"/>
      <c r="L281" s="915"/>
      <c r="M281" s="915"/>
      <c r="N281" s="915"/>
      <c r="O281" s="852"/>
      <c r="P281" s="852"/>
      <c r="Q281" s="6"/>
      <c r="R281" s="6"/>
    </row>
    <row r="282" spans="1:18" x14ac:dyDescent="0.2">
      <c r="B282" s="852"/>
      <c r="C282" s="852"/>
      <c r="D282" s="852"/>
      <c r="E282" s="852"/>
      <c r="F282" s="915"/>
      <c r="G282" s="915"/>
      <c r="H282" s="915"/>
      <c r="I282" s="915"/>
      <c r="J282" s="915"/>
      <c r="K282" s="915"/>
      <c r="L282" s="915"/>
      <c r="M282" s="915"/>
      <c r="N282" s="915"/>
      <c r="O282" s="852"/>
      <c r="P282" s="852"/>
      <c r="Q282" s="6"/>
      <c r="R282" s="6"/>
    </row>
    <row r="283" spans="1:18" x14ac:dyDescent="0.2">
      <c r="B283" s="852"/>
      <c r="C283" s="852"/>
      <c r="D283" s="852"/>
      <c r="E283" s="852"/>
      <c r="F283" s="915"/>
      <c r="G283" s="915"/>
      <c r="H283" s="915"/>
      <c r="I283" s="915"/>
      <c r="J283" s="915"/>
      <c r="K283" s="915"/>
      <c r="L283" s="915"/>
      <c r="M283" s="915"/>
      <c r="N283" s="915"/>
      <c r="O283" s="852"/>
      <c r="P283" s="852"/>
      <c r="Q283" s="6"/>
      <c r="R283" s="6"/>
    </row>
    <row r="284" spans="1:18" x14ac:dyDescent="0.2">
      <c r="B284" s="852"/>
      <c r="C284" s="852"/>
      <c r="D284" s="852"/>
      <c r="E284" s="852"/>
      <c r="F284" s="915"/>
      <c r="G284" s="915"/>
      <c r="H284" s="915"/>
      <c r="I284" s="915"/>
      <c r="J284" s="915"/>
      <c r="K284" s="915"/>
      <c r="L284" s="915"/>
      <c r="M284" s="915"/>
      <c r="N284" s="915"/>
      <c r="O284" s="852"/>
      <c r="P284" s="852"/>
      <c r="Q284" s="6"/>
      <c r="R284" s="6"/>
    </row>
    <row r="285" spans="1:18" x14ac:dyDescent="0.2">
      <c r="B285" s="852"/>
      <c r="C285" s="852"/>
      <c r="D285" s="852"/>
      <c r="E285" s="852"/>
      <c r="F285" s="915"/>
      <c r="G285" s="915"/>
      <c r="H285" s="915"/>
      <c r="I285" s="915"/>
      <c r="J285" s="915"/>
      <c r="K285" s="915"/>
      <c r="L285" s="915"/>
      <c r="M285" s="915"/>
      <c r="N285" s="915"/>
      <c r="O285" s="852"/>
      <c r="P285" s="852"/>
      <c r="Q285" s="6"/>
      <c r="R285" s="6"/>
    </row>
    <row r="286" spans="1:18" x14ac:dyDescent="0.2">
      <c r="B286" s="852"/>
      <c r="C286" s="852"/>
      <c r="D286" s="852"/>
      <c r="E286" s="852"/>
      <c r="F286" s="915"/>
      <c r="G286" s="915"/>
      <c r="H286" s="915"/>
      <c r="I286" s="915"/>
      <c r="J286" s="915"/>
      <c r="K286" s="915"/>
      <c r="L286" s="915"/>
      <c r="M286" s="915"/>
      <c r="N286" s="915"/>
      <c r="O286" s="852"/>
      <c r="P286" s="852"/>
      <c r="Q286" s="6"/>
      <c r="R286" s="6"/>
    </row>
    <row r="287" spans="1:18" x14ac:dyDescent="0.2">
      <c r="B287" s="852"/>
      <c r="C287" s="852"/>
      <c r="D287" s="852"/>
      <c r="E287" s="852"/>
      <c r="F287" s="915"/>
      <c r="G287" s="915"/>
      <c r="H287" s="915"/>
      <c r="I287" s="915"/>
      <c r="J287" s="915"/>
      <c r="K287" s="915"/>
      <c r="L287" s="915"/>
      <c r="M287" s="915"/>
      <c r="N287" s="915"/>
      <c r="O287" s="852"/>
      <c r="P287" s="852"/>
      <c r="Q287" s="6"/>
      <c r="R287" s="6"/>
    </row>
    <row r="288" spans="1:18" x14ac:dyDescent="0.2">
      <c r="B288" s="6"/>
      <c r="C288" s="6"/>
      <c r="D288" s="6"/>
      <c r="E288" s="6"/>
      <c r="F288" s="165"/>
      <c r="G288" s="165"/>
      <c r="H288" s="165"/>
      <c r="I288" s="165"/>
      <c r="J288" s="165"/>
      <c r="K288" s="165"/>
      <c r="L288" s="165"/>
      <c r="M288" s="165"/>
      <c r="N288" s="165"/>
      <c r="O288" s="6"/>
      <c r="P288" s="6"/>
      <c r="Q288" s="6"/>
      <c r="R288" s="6"/>
    </row>
    <row r="289" spans="1:32" x14ac:dyDescent="0.2">
      <c r="B289" s="6"/>
      <c r="C289" s="6"/>
      <c r="D289" s="6"/>
      <c r="E289" s="6"/>
      <c r="F289" s="165"/>
      <c r="G289" s="165"/>
      <c r="H289" s="165"/>
      <c r="I289" s="165"/>
      <c r="J289" s="165"/>
      <c r="K289" s="165"/>
      <c r="L289" s="165"/>
      <c r="M289" s="165"/>
      <c r="N289" s="165"/>
      <c r="O289" s="6"/>
      <c r="P289" s="6"/>
      <c r="Q289" s="6"/>
      <c r="R289" s="6"/>
    </row>
    <row r="290" spans="1:32" x14ac:dyDescent="0.2">
      <c r="B290" s="6"/>
      <c r="C290" s="6"/>
      <c r="D290" s="6"/>
      <c r="E290" s="6"/>
      <c r="F290" s="165"/>
      <c r="G290" s="165"/>
      <c r="H290" s="165"/>
      <c r="I290" s="165"/>
      <c r="J290" s="165"/>
      <c r="K290" s="165"/>
      <c r="L290" s="165"/>
      <c r="M290" s="165"/>
      <c r="N290" s="165"/>
      <c r="O290" s="6"/>
      <c r="P290" s="6"/>
      <c r="Q290" s="6"/>
      <c r="R290" s="6"/>
    </row>
    <row r="291" spans="1:32" x14ac:dyDescent="0.2">
      <c r="B291" s="6"/>
      <c r="C291" s="6"/>
      <c r="D291" s="6"/>
      <c r="E291" s="6"/>
      <c r="F291" s="165"/>
      <c r="G291" s="165"/>
      <c r="H291" s="165"/>
      <c r="I291" s="165"/>
      <c r="J291" s="165"/>
      <c r="K291" s="165"/>
      <c r="L291" s="165"/>
      <c r="M291" s="165"/>
      <c r="N291" s="165"/>
      <c r="O291" s="6"/>
      <c r="P291" s="6"/>
      <c r="Q291" s="6"/>
      <c r="R291" s="6"/>
    </row>
    <row r="292" spans="1:32" s="914" customFormat="1" x14ac:dyDescent="0.2">
      <c r="A292" s="164"/>
      <c r="B292" s="6"/>
      <c r="C292" s="6"/>
      <c r="D292" s="6"/>
      <c r="E292" s="6"/>
      <c r="F292" s="165"/>
      <c r="G292" s="165"/>
      <c r="H292" s="165"/>
      <c r="I292" s="165"/>
      <c r="J292" s="165"/>
      <c r="K292" s="165"/>
      <c r="L292" s="165"/>
      <c r="M292" s="165"/>
      <c r="N292" s="165"/>
      <c r="O292" s="6"/>
      <c r="P292" s="6"/>
      <c r="Q292" s="852"/>
      <c r="R292" s="6"/>
      <c r="S292" s="164"/>
      <c r="T292" s="164"/>
      <c r="U292" s="164"/>
      <c r="V292" s="164"/>
      <c r="W292" s="164"/>
      <c r="X292" s="164"/>
      <c r="Y292" s="164"/>
      <c r="Z292" s="164"/>
      <c r="AA292" s="164"/>
      <c r="AB292" s="164"/>
      <c r="AC292" s="164"/>
      <c r="AD292" s="164"/>
      <c r="AE292" s="164"/>
      <c r="AF292" s="164"/>
    </row>
    <row r="293" spans="1:32" x14ac:dyDescent="0.2">
      <c r="B293" s="6"/>
      <c r="C293" s="6"/>
      <c r="D293" s="6"/>
      <c r="E293" s="6"/>
      <c r="F293" s="165"/>
      <c r="G293" s="165"/>
      <c r="H293" s="165"/>
      <c r="I293" s="165"/>
      <c r="J293" s="165"/>
      <c r="K293" s="165"/>
      <c r="L293" s="165"/>
      <c r="M293" s="165"/>
      <c r="N293" s="165"/>
      <c r="O293" s="6"/>
      <c r="P293" s="6"/>
      <c r="Q293" s="6"/>
      <c r="R293" s="6"/>
    </row>
    <row r="294" spans="1:32" x14ac:dyDescent="0.2">
      <c r="B294" s="6"/>
      <c r="C294" s="6"/>
      <c r="D294" s="6"/>
      <c r="E294" s="6"/>
      <c r="F294" s="165"/>
      <c r="G294" s="165"/>
      <c r="H294" s="165"/>
      <c r="I294" s="165"/>
      <c r="J294" s="165"/>
      <c r="K294" s="165"/>
      <c r="L294" s="165"/>
      <c r="M294" s="165"/>
      <c r="N294" s="165"/>
      <c r="O294" s="6"/>
      <c r="P294" s="6"/>
      <c r="Q294" s="6"/>
      <c r="R294" s="6"/>
    </row>
    <row r="295" spans="1:32" x14ac:dyDescent="0.2">
      <c r="B295" s="6"/>
      <c r="C295" s="6"/>
      <c r="D295" s="6"/>
      <c r="E295" s="6"/>
      <c r="F295" s="165"/>
      <c r="G295" s="165"/>
      <c r="H295" s="165"/>
      <c r="I295" s="165"/>
      <c r="J295" s="165"/>
      <c r="K295" s="165"/>
      <c r="L295" s="165"/>
      <c r="M295" s="165"/>
      <c r="N295" s="165"/>
      <c r="O295" s="6"/>
      <c r="P295" s="6"/>
      <c r="Q295" s="6"/>
      <c r="R295" s="6"/>
    </row>
    <row r="296" spans="1:32" x14ac:dyDescent="0.2">
      <c r="B296" s="6"/>
      <c r="C296" s="6"/>
      <c r="D296" s="6"/>
      <c r="E296" s="6"/>
      <c r="F296" s="165"/>
      <c r="G296" s="165"/>
      <c r="H296" s="165"/>
      <c r="I296" s="165"/>
      <c r="J296" s="165"/>
      <c r="K296" s="165"/>
      <c r="L296" s="165"/>
      <c r="M296" s="165"/>
      <c r="N296" s="165"/>
      <c r="O296" s="6"/>
      <c r="P296" s="6"/>
      <c r="Q296" s="6"/>
      <c r="R296" s="6"/>
    </row>
    <row r="297" spans="1:32" x14ac:dyDescent="0.2">
      <c r="B297" s="6"/>
      <c r="C297" s="6"/>
      <c r="D297" s="6"/>
      <c r="E297" s="6"/>
      <c r="F297" s="165"/>
      <c r="G297" s="165"/>
      <c r="H297" s="165"/>
      <c r="I297" s="165"/>
      <c r="J297" s="165"/>
      <c r="K297" s="165"/>
      <c r="L297" s="165"/>
      <c r="M297" s="165"/>
      <c r="N297" s="165"/>
      <c r="O297" s="6"/>
      <c r="P297" s="6"/>
      <c r="Q297" s="6"/>
      <c r="R297" s="6"/>
    </row>
    <row r="298" spans="1:32" x14ac:dyDescent="0.2">
      <c r="B298" s="6"/>
      <c r="C298" s="6"/>
      <c r="D298" s="6"/>
      <c r="E298" s="6"/>
      <c r="F298" s="165"/>
      <c r="G298" s="165"/>
      <c r="H298" s="165"/>
      <c r="I298" s="165"/>
      <c r="J298" s="165"/>
      <c r="K298" s="165"/>
      <c r="L298" s="165"/>
      <c r="M298" s="165"/>
      <c r="N298" s="165"/>
      <c r="O298" s="6"/>
      <c r="P298" s="6"/>
      <c r="Q298" s="6"/>
      <c r="R298" s="6"/>
    </row>
    <row r="299" spans="1:32" x14ac:dyDescent="0.2">
      <c r="B299" s="6"/>
      <c r="C299" s="6"/>
      <c r="D299" s="6"/>
      <c r="E299" s="6"/>
      <c r="F299" s="165"/>
      <c r="G299" s="165"/>
      <c r="H299" s="165"/>
      <c r="I299" s="165"/>
      <c r="J299" s="165"/>
      <c r="K299" s="165"/>
      <c r="L299" s="165"/>
      <c r="M299" s="165"/>
      <c r="N299" s="165"/>
      <c r="O299" s="6"/>
      <c r="P299" s="6"/>
      <c r="Q299" s="6"/>
      <c r="R299" s="6"/>
    </row>
    <row r="300" spans="1:32" x14ac:dyDescent="0.2">
      <c r="B300" s="6"/>
      <c r="C300" s="6"/>
      <c r="D300" s="6"/>
      <c r="E300" s="6"/>
      <c r="F300" s="165"/>
      <c r="G300" s="165"/>
      <c r="H300" s="165"/>
      <c r="I300" s="165"/>
      <c r="J300" s="165"/>
      <c r="K300" s="165"/>
      <c r="L300" s="165"/>
      <c r="M300" s="165"/>
      <c r="N300" s="165"/>
      <c r="O300" s="6"/>
      <c r="P300" s="6"/>
      <c r="Q300" s="6"/>
      <c r="R300" s="6"/>
    </row>
    <row r="301" spans="1:32" x14ac:dyDescent="0.2">
      <c r="B301" s="6"/>
      <c r="C301" s="6"/>
      <c r="D301" s="6"/>
      <c r="E301" s="6"/>
      <c r="F301" s="165"/>
      <c r="G301" s="165"/>
      <c r="H301" s="165"/>
      <c r="I301" s="165"/>
      <c r="J301" s="165"/>
      <c r="K301" s="165"/>
      <c r="L301" s="165"/>
      <c r="M301" s="165"/>
      <c r="N301" s="165"/>
      <c r="O301" s="6"/>
      <c r="P301" s="6"/>
      <c r="Q301" s="6"/>
      <c r="R301" s="6"/>
    </row>
    <row r="302" spans="1:32" x14ac:dyDescent="0.2">
      <c r="B302" s="6"/>
      <c r="C302" s="6"/>
      <c r="D302" s="6"/>
      <c r="E302" s="6"/>
      <c r="F302" s="165"/>
      <c r="G302" s="165"/>
      <c r="H302" s="165"/>
      <c r="I302" s="165"/>
      <c r="J302" s="165"/>
      <c r="K302" s="165"/>
      <c r="L302" s="165"/>
      <c r="M302" s="165"/>
      <c r="N302" s="165"/>
      <c r="O302" s="6"/>
      <c r="P302" s="6"/>
      <c r="Q302" s="6"/>
      <c r="R302" s="6"/>
    </row>
    <row r="303" spans="1:32" x14ac:dyDescent="0.2">
      <c r="B303" s="6"/>
      <c r="C303" s="6"/>
      <c r="D303" s="6"/>
      <c r="E303" s="6"/>
      <c r="F303" s="165"/>
      <c r="G303" s="165"/>
      <c r="H303" s="165"/>
      <c r="I303" s="165"/>
      <c r="J303" s="165"/>
      <c r="K303" s="165"/>
      <c r="L303" s="165"/>
      <c r="M303" s="165"/>
      <c r="N303" s="165"/>
      <c r="O303" s="6"/>
      <c r="P303" s="6"/>
      <c r="Q303" s="6"/>
      <c r="R303" s="6"/>
    </row>
    <row r="304" spans="1:32" x14ac:dyDescent="0.2">
      <c r="B304" s="6"/>
      <c r="C304" s="6"/>
      <c r="D304" s="6"/>
      <c r="E304" s="6"/>
      <c r="F304" s="165"/>
      <c r="G304" s="165"/>
      <c r="H304" s="165"/>
      <c r="I304" s="165"/>
      <c r="J304" s="165"/>
      <c r="K304" s="165"/>
      <c r="L304" s="165"/>
      <c r="M304" s="165"/>
      <c r="N304" s="165"/>
      <c r="O304" s="6"/>
      <c r="P304" s="6"/>
      <c r="Q304" s="6"/>
      <c r="R304" s="6"/>
    </row>
    <row r="305" spans="2:18" x14ac:dyDescent="0.2">
      <c r="B305" s="6"/>
      <c r="C305" s="6"/>
      <c r="D305" s="6"/>
      <c r="E305" s="6"/>
      <c r="F305" s="165"/>
      <c r="G305" s="165"/>
      <c r="H305" s="165"/>
      <c r="I305" s="165"/>
      <c r="J305" s="165"/>
      <c r="K305" s="165"/>
      <c r="L305" s="165"/>
      <c r="M305" s="165"/>
      <c r="N305" s="165"/>
      <c r="O305" s="6"/>
      <c r="P305" s="6"/>
      <c r="Q305" s="6"/>
      <c r="R305" s="6"/>
    </row>
    <row r="306" spans="2:18" x14ac:dyDescent="0.2">
      <c r="B306" s="6"/>
      <c r="C306" s="6"/>
      <c r="D306" s="6"/>
      <c r="E306" s="6"/>
      <c r="F306" s="165"/>
      <c r="G306" s="165"/>
      <c r="H306" s="165"/>
      <c r="I306" s="165"/>
      <c r="J306" s="165"/>
      <c r="K306" s="165"/>
      <c r="L306" s="165"/>
      <c r="M306" s="165"/>
      <c r="N306" s="165"/>
      <c r="O306" s="6"/>
      <c r="P306" s="6"/>
      <c r="Q306" s="6"/>
      <c r="R306" s="6"/>
    </row>
    <row r="307" spans="2:18" x14ac:dyDescent="0.2">
      <c r="B307" s="6"/>
      <c r="C307" s="6"/>
      <c r="D307" s="6"/>
      <c r="E307" s="6"/>
      <c r="F307" s="165"/>
      <c r="G307" s="165"/>
      <c r="H307" s="165"/>
      <c r="I307" s="165"/>
      <c r="J307" s="165"/>
      <c r="K307" s="165"/>
      <c r="L307" s="165"/>
      <c r="M307" s="165"/>
      <c r="N307" s="165"/>
      <c r="O307" s="6"/>
      <c r="P307" s="6"/>
      <c r="Q307" s="6"/>
      <c r="R307" s="6"/>
    </row>
    <row r="308" spans="2:18" x14ac:dyDescent="0.2">
      <c r="B308" s="6"/>
      <c r="C308" s="6"/>
      <c r="D308" s="6"/>
      <c r="E308" s="6"/>
      <c r="F308" s="165"/>
      <c r="G308" s="165"/>
      <c r="H308" s="165"/>
      <c r="I308" s="165"/>
      <c r="J308" s="165"/>
      <c r="K308" s="165"/>
      <c r="L308" s="165"/>
      <c r="M308" s="165"/>
      <c r="N308" s="165"/>
      <c r="O308" s="6"/>
      <c r="P308" s="6"/>
      <c r="Q308" s="6"/>
      <c r="R308" s="6"/>
    </row>
    <row r="309" spans="2:18" x14ac:dyDescent="0.2">
      <c r="B309" s="6"/>
      <c r="C309" s="6"/>
      <c r="D309" s="6"/>
      <c r="E309" s="6"/>
      <c r="F309" s="165"/>
      <c r="G309" s="165"/>
      <c r="H309" s="165"/>
      <c r="I309" s="165"/>
      <c r="J309" s="165"/>
      <c r="K309" s="165"/>
      <c r="L309" s="165"/>
      <c r="M309" s="165"/>
      <c r="N309" s="165"/>
      <c r="O309" s="6"/>
      <c r="P309" s="6"/>
      <c r="Q309" s="6"/>
      <c r="R309" s="6"/>
    </row>
    <row r="310" spans="2:18" x14ac:dyDescent="0.2">
      <c r="B310" s="6"/>
      <c r="C310" s="6"/>
      <c r="D310" s="6"/>
      <c r="E310" s="6"/>
      <c r="F310" s="165"/>
      <c r="G310" s="165"/>
      <c r="H310" s="165"/>
      <c r="I310" s="165"/>
      <c r="J310" s="165"/>
      <c r="K310" s="165"/>
      <c r="L310" s="165"/>
      <c r="M310" s="165"/>
      <c r="N310" s="165"/>
      <c r="O310" s="6"/>
      <c r="P310" s="6"/>
      <c r="Q310" s="6"/>
      <c r="R310" s="6"/>
    </row>
    <row r="311" spans="2:18" x14ac:dyDescent="0.2">
      <c r="B311" s="6"/>
      <c r="C311" s="6"/>
      <c r="D311" s="6"/>
      <c r="E311" s="6"/>
      <c r="F311" s="165"/>
      <c r="G311" s="165"/>
      <c r="H311" s="165"/>
      <c r="I311" s="165"/>
      <c r="J311" s="165"/>
      <c r="K311" s="165"/>
      <c r="L311" s="165"/>
      <c r="M311" s="165"/>
      <c r="N311" s="165"/>
      <c r="O311" s="6"/>
      <c r="P311" s="6"/>
      <c r="Q311" s="6"/>
      <c r="R311" s="6"/>
    </row>
    <row r="312" spans="2:18" x14ac:dyDescent="0.2">
      <c r="B312" s="6"/>
      <c r="C312" s="6"/>
      <c r="D312" s="6"/>
      <c r="E312" s="6"/>
      <c r="F312" s="165"/>
      <c r="G312" s="165"/>
      <c r="H312" s="165"/>
      <c r="I312" s="165"/>
      <c r="J312" s="165"/>
      <c r="K312" s="165"/>
      <c r="L312" s="165"/>
      <c r="M312" s="165"/>
      <c r="N312" s="165"/>
      <c r="O312" s="6"/>
      <c r="P312" s="6"/>
      <c r="Q312" s="6"/>
      <c r="R312" s="6"/>
    </row>
    <row r="313" spans="2:18" x14ac:dyDescent="0.2">
      <c r="B313" s="6"/>
      <c r="C313" s="6"/>
      <c r="D313" s="6"/>
      <c r="E313" s="6"/>
      <c r="F313" s="165"/>
      <c r="G313" s="165"/>
      <c r="H313" s="165"/>
      <c r="I313" s="165"/>
      <c r="J313" s="165"/>
      <c r="K313" s="165"/>
      <c r="L313" s="165"/>
      <c r="M313" s="165"/>
      <c r="N313" s="165"/>
      <c r="O313" s="6"/>
      <c r="P313" s="6"/>
      <c r="Q313" s="6"/>
      <c r="R313" s="6"/>
    </row>
    <row r="314" spans="2:18" x14ac:dyDescent="0.2">
      <c r="B314" s="6"/>
      <c r="C314" s="6"/>
      <c r="D314" s="6"/>
      <c r="E314" s="6"/>
      <c r="F314" s="165"/>
      <c r="G314" s="165"/>
      <c r="H314" s="165"/>
      <c r="I314" s="165"/>
      <c r="J314" s="165"/>
      <c r="K314" s="165"/>
      <c r="L314" s="165"/>
      <c r="M314" s="165"/>
      <c r="N314" s="165"/>
      <c r="O314" s="6"/>
      <c r="P314" s="6"/>
      <c r="Q314" s="6"/>
      <c r="R314" s="6"/>
    </row>
    <row r="315" spans="2:18" x14ac:dyDescent="0.2">
      <c r="B315" s="6"/>
      <c r="C315" s="6"/>
      <c r="D315" s="6"/>
      <c r="E315" s="6"/>
      <c r="F315" s="165"/>
      <c r="G315" s="165"/>
      <c r="H315" s="165"/>
      <c r="I315" s="165"/>
      <c r="J315" s="165"/>
      <c r="K315" s="165"/>
      <c r="L315" s="165"/>
      <c r="M315" s="165"/>
      <c r="N315" s="165"/>
      <c r="O315" s="6"/>
      <c r="P315" s="6"/>
      <c r="Q315" s="6"/>
      <c r="R315" s="6"/>
    </row>
    <row r="316" spans="2:18" x14ac:dyDescent="0.2">
      <c r="B316" s="6"/>
      <c r="C316" s="6"/>
      <c r="D316" s="6"/>
      <c r="E316" s="6"/>
      <c r="F316" s="165"/>
      <c r="G316" s="165"/>
      <c r="H316" s="165"/>
      <c r="I316" s="165"/>
      <c r="J316" s="165"/>
      <c r="K316" s="165"/>
      <c r="L316" s="165"/>
      <c r="M316" s="165"/>
      <c r="N316" s="165"/>
      <c r="O316" s="6"/>
      <c r="P316" s="6"/>
      <c r="Q316" s="6"/>
      <c r="R316" s="6"/>
    </row>
    <row r="317" spans="2:18" x14ac:dyDescent="0.2">
      <c r="B317" s="6"/>
      <c r="C317" s="6"/>
      <c r="D317" s="6"/>
      <c r="E317" s="6"/>
      <c r="F317" s="165"/>
      <c r="G317" s="165"/>
      <c r="H317" s="165"/>
      <c r="I317" s="165"/>
      <c r="J317" s="165"/>
      <c r="K317" s="165"/>
      <c r="L317" s="165"/>
      <c r="M317" s="165"/>
      <c r="N317" s="165"/>
      <c r="O317" s="6"/>
      <c r="P317" s="6"/>
      <c r="Q317" s="6"/>
      <c r="R317" s="6"/>
    </row>
    <row r="318" spans="2:18" x14ac:dyDescent="0.2">
      <c r="Q318" s="6"/>
      <c r="R318" s="6"/>
    </row>
    <row r="319" spans="2:18" x14ac:dyDescent="0.2">
      <c r="Q319" s="6"/>
      <c r="R319" s="6"/>
    </row>
    <row r="320" spans="2:18" x14ac:dyDescent="0.2">
      <c r="Q320" s="6"/>
      <c r="R320" s="6"/>
    </row>
    <row r="321" spans="17:18" x14ac:dyDescent="0.2">
      <c r="Q321" s="6"/>
      <c r="R321" s="6"/>
    </row>
    <row r="322" spans="17:18" x14ac:dyDescent="0.2">
      <c r="Q322" s="6"/>
      <c r="R322" s="6"/>
    </row>
    <row r="323" spans="17:18" x14ac:dyDescent="0.2">
      <c r="Q323" s="6"/>
      <c r="R323" s="6"/>
    </row>
    <row r="324" spans="17:18" x14ac:dyDescent="0.2">
      <c r="Q324" s="6"/>
      <c r="R324" s="6"/>
    </row>
    <row r="325" spans="17:18" x14ac:dyDescent="0.2">
      <c r="Q325" s="6"/>
      <c r="R325" s="852"/>
    </row>
    <row r="326" spans="17:18" x14ac:dyDescent="0.2">
      <c r="Q326" s="6"/>
      <c r="R326" s="6"/>
    </row>
    <row r="327" spans="17:18" x14ac:dyDescent="0.2">
      <c r="Q327" s="6"/>
      <c r="R327" s="6"/>
    </row>
    <row r="328" spans="17:18" x14ac:dyDescent="0.2">
      <c r="Q328" s="6"/>
      <c r="R328" s="6"/>
    </row>
    <row r="329" spans="17:18" x14ac:dyDescent="0.2">
      <c r="Q329" s="6"/>
      <c r="R329" s="6"/>
    </row>
    <row r="330" spans="17:18" x14ac:dyDescent="0.2">
      <c r="Q330" s="6"/>
      <c r="R330" s="6"/>
    </row>
    <row r="331" spans="17:18" x14ac:dyDescent="0.2">
      <c r="Q331" s="6"/>
      <c r="R331" s="6"/>
    </row>
    <row r="332" spans="17:18" x14ac:dyDescent="0.2">
      <c r="R332" s="6"/>
    </row>
    <row r="333" spans="17:18" x14ac:dyDescent="0.2">
      <c r="R333" s="6"/>
    </row>
    <row r="334" spans="17:18" x14ac:dyDescent="0.2">
      <c r="R334" s="6"/>
    </row>
    <row r="335" spans="17:18" x14ac:dyDescent="0.2">
      <c r="R335" s="6"/>
    </row>
    <row r="336" spans="17:18" x14ac:dyDescent="0.2">
      <c r="R336" s="6"/>
    </row>
    <row r="337" spans="18:18" x14ac:dyDescent="0.2">
      <c r="R337" s="6"/>
    </row>
    <row r="338" spans="18:18" x14ac:dyDescent="0.2">
      <c r="R338" s="6"/>
    </row>
    <row r="339" spans="18:18" x14ac:dyDescent="0.2">
      <c r="R339" s="6"/>
    </row>
    <row r="340" spans="18:18" x14ac:dyDescent="0.2">
      <c r="R340" s="6"/>
    </row>
    <row r="341" spans="18:18" x14ac:dyDescent="0.2">
      <c r="R341" s="6"/>
    </row>
    <row r="342" spans="18:18" x14ac:dyDescent="0.2">
      <c r="R342" s="6"/>
    </row>
    <row r="343" spans="18:18" x14ac:dyDescent="0.2">
      <c r="R343" s="6"/>
    </row>
    <row r="344" spans="18:18" x14ac:dyDescent="0.2">
      <c r="R344" s="6"/>
    </row>
    <row r="345" spans="18:18" x14ac:dyDescent="0.2">
      <c r="R345" s="6"/>
    </row>
    <row r="346" spans="18:18" x14ac:dyDescent="0.2">
      <c r="R346" s="6"/>
    </row>
    <row r="347" spans="18:18" x14ac:dyDescent="0.2">
      <c r="R347" s="6"/>
    </row>
    <row r="348" spans="18:18" x14ac:dyDescent="0.2">
      <c r="R348" s="6"/>
    </row>
    <row r="349" spans="18:18" x14ac:dyDescent="0.2">
      <c r="R349" s="6"/>
    </row>
    <row r="350" spans="18:18" x14ac:dyDescent="0.2">
      <c r="R350" s="6"/>
    </row>
    <row r="351" spans="18:18" x14ac:dyDescent="0.2">
      <c r="R351" s="6"/>
    </row>
    <row r="352" spans="18:18" x14ac:dyDescent="0.2">
      <c r="R352" s="6"/>
    </row>
    <row r="353" spans="18:18" x14ac:dyDescent="0.2">
      <c r="R353" s="6"/>
    </row>
    <row r="354" spans="18:18" x14ac:dyDescent="0.2">
      <c r="R354" s="6"/>
    </row>
    <row r="355" spans="18:18" x14ac:dyDescent="0.2">
      <c r="R355" s="6"/>
    </row>
    <row r="356" spans="18:18" x14ac:dyDescent="0.2">
      <c r="R356" s="6"/>
    </row>
    <row r="357" spans="18:18" x14ac:dyDescent="0.2">
      <c r="R357" s="6"/>
    </row>
    <row r="358" spans="18:18" x14ac:dyDescent="0.2">
      <c r="R358" s="6"/>
    </row>
    <row r="359" spans="18:18" x14ac:dyDescent="0.2">
      <c r="R359" s="6"/>
    </row>
    <row r="360" spans="18:18" x14ac:dyDescent="0.2">
      <c r="R360" s="6"/>
    </row>
    <row r="361" spans="18:18" x14ac:dyDescent="0.2">
      <c r="R361" s="6"/>
    </row>
    <row r="362" spans="18:18" x14ac:dyDescent="0.2">
      <c r="R362" s="6"/>
    </row>
    <row r="431" spans="31:32" x14ac:dyDescent="0.2">
      <c r="AE431" s="1364"/>
      <c r="AF431" s="1364"/>
    </row>
    <row r="432" spans="31:32" x14ac:dyDescent="0.2">
      <c r="AE432" s="1364"/>
      <c r="AF432" s="1364"/>
    </row>
    <row r="433" spans="31:32" x14ac:dyDescent="0.2">
      <c r="AE433" s="1364"/>
      <c r="AF433" s="1364"/>
    </row>
    <row r="434" spans="31:32" x14ac:dyDescent="0.2">
      <c r="AE434" s="1364"/>
      <c r="AF434" s="1364"/>
    </row>
    <row r="464" spans="19:30" x14ac:dyDescent="0.2">
      <c r="S464" s="1364"/>
      <c r="T464" s="1364"/>
      <c r="U464" s="1364"/>
      <c r="V464" s="1364"/>
      <c r="W464" s="1364"/>
      <c r="X464" s="1364"/>
      <c r="Y464" s="1364"/>
      <c r="Z464" s="1364"/>
      <c r="AA464" s="1364"/>
      <c r="AB464" s="1364"/>
      <c r="AC464" s="1364"/>
      <c r="AD464" s="1364"/>
    </row>
    <row r="465" spans="19:30" x14ac:dyDescent="0.2">
      <c r="S465" s="1364"/>
      <c r="T465" s="1364"/>
      <c r="U465" s="1364"/>
      <c r="V465" s="1364"/>
      <c r="W465" s="1364"/>
      <c r="X465" s="1364"/>
      <c r="Y465" s="1364"/>
      <c r="Z465" s="1364"/>
      <c r="AA465" s="1364"/>
      <c r="AB465" s="1364"/>
      <c r="AC465" s="1364"/>
      <c r="AD465" s="1364"/>
    </row>
    <row r="466" spans="19:30" x14ac:dyDescent="0.2">
      <c r="S466" s="1364"/>
      <c r="T466" s="1364"/>
      <c r="U466" s="1364"/>
      <c r="V466" s="1364"/>
      <c r="W466" s="1364"/>
      <c r="X466" s="1364"/>
      <c r="Y466" s="1364"/>
      <c r="Z466" s="1364"/>
      <c r="AA466" s="1364"/>
      <c r="AB466" s="1364"/>
      <c r="AC466" s="1364"/>
      <c r="AD466" s="1364"/>
    </row>
    <row r="467" spans="19:30" x14ac:dyDescent="0.2">
      <c r="S467" s="1364"/>
      <c r="T467" s="1364"/>
      <c r="U467" s="1364"/>
      <c r="V467" s="1364"/>
      <c r="W467" s="1364"/>
      <c r="X467" s="1364"/>
      <c r="Y467" s="1364"/>
      <c r="Z467" s="1364"/>
      <c r="AA467" s="1364"/>
      <c r="AB467" s="1364"/>
      <c r="AC467" s="1364"/>
      <c r="AD467" s="1364"/>
    </row>
    <row r="514" spans="31:32" x14ac:dyDescent="0.2">
      <c r="AE514" s="914"/>
      <c r="AF514" s="914"/>
    </row>
    <row r="547" spans="19:30" x14ac:dyDescent="0.2">
      <c r="S547" s="914"/>
      <c r="T547" s="914"/>
      <c r="U547" s="914"/>
      <c r="V547" s="914"/>
      <c r="W547" s="914"/>
      <c r="X547" s="914"/>
      <c r="Y547" s="914"/>
      <c r="Z547" s="914"/>
      <c r="AA547" s="914"/>
      <c r="AB547" s="914"/>
      <c r="AC547" s="914"/>
      <c r="AD547" s="914"/>
    </row>
    <row r="549" spans="19:30" x14ac:dyDescent="0.2">
      <c r="S549" s="6"/>
    </row>
    <row r="550" spans="19:30" x14ac:dyDescent="0.2">
      <c r="S550" s="6"/>
    </row>
    <row r="551" spans="19:30" x14ac:dyDescent="0.2">
      <c r="S551" s="6"/>
    </row>
    <row r="552" spans="19:30" x14ac:dyDescent="0.2">
      <c r="S552" s="6"/>
    </row>
    <row r="553" spans="19:30" x14ac:dyDescent="0.2">
      <c r="S553" s="6"/>
    </row>
    <row r="554" spans="19:30" x14ac:dyDescent="0.2">
      <c r="S554" s="6"/>
    </row>
    <row r="555" spans="19:30" x14ac:dyDescent="0.2">
      <c r="S555" s="6"/>
    </row>
    <row r="556" spans="19:30" x14ac:dyDescent="0.2">
      <c r="S556" s="6"/>
    </row>
    <row r="557" spans="19:30" x14ac:dyDescent="0.2">
      <c r="S557" s="6"/>
    </row>
    <row r="558" spans="19:30" x14ac:dyDescent="0.2">
      <c r="S558" s="6"/>
    </row>
    <row r="559" spans="19:30" x14ac:dyDescent="0.2">
      <c r="S559" s="6"/>
    </row>
    <row r="560" spans="19:30" x14ac:dyDescent="0.2">
      <c r="S560" s="6"/>
    </row>
    <row r="561" spans="19:19" x14ac:dyDescent="0.2">
      <c r="S561" s="6"/>
    </row>
    <row r="562" spans="19:19" x14ac:dyDescent="0.2">
      <c r="S562" s="6"/>
    </row>
  </sheetData>
  <sheetProtection algorithmName="SHA-512" hashValue="Tw7QadiI/4FjBQ1zXqicT8LF6kYejIvf7MpQMUP/BSFcCPClq9QpdElkFxsVVEis6EpRotCsFkAAnXePlXREHQ==" saltValue="MI2mmszDFJqCzqIBTtPTwQ==" spinCount="100000" sheet="1" objects="1" scenarios="1"/>
  <phoneticPr fontId="0" type="noConversion"/>
  <hyperlinks>
    <hyperlink ref="O183" r:id="rId1" xr:uid="{00000000-0004-0000-0300-000000000000}"/>
  </hyperlinks>
  <printOptions headings="1" gridLines="1"/>
  <pageMargins left="0.74803149606299213" right="0.74803149606299213" top="0.98425196850393704" bottom="0.98425196850393704" header="0.51181102362204722" footer="0.51181102362204722"/>
  <pageSetup paperSize="9" scale="48"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107" min="1" max="14" man="1"/>
    <brk id="183" min="1" max="14"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T321"/>
  <sheetViews>
    <sheetView showGridLines="0" zoomScale="85" zoomScaleNormal="85" zoomScaleSheetLayoutView="85" zoomScalePageLayoutView="80" workbookViewId="0">
      <selection activeCell="B2" sqref="B2"/>
    </sheetView>
  </sheetViews>
  <sheetFormatPr defaultRowHeight="12.75" x14ac:dyDescent="0.2"/>
  <cols>
    <col min="1" max="1" width="3.7109375" style="164" customWidth="1"/>
    <col min="2" max="3" width="2.7109375" style="164" customWidth="1"/>
    <col min="4" max="4" width="35.7109375" style="164" customWidth="1"/>
    <col min="5" max="5" width="1.7109375" style="164" customWidth="1"/>
    <col min="6" max="6" width="10.7109375" style="164" customWidth="1"/>
    <col min="7" max="7" width="2.42578125" style="164" customWidth="1"/>
    <col min="8" max="8" width="2.7109375" style="164" customWidth="1"/>
    <col min="9" max="9" width="14.85546875" style="391" hidden="1" customWidth="1"/>
    <col min="10" max="15" width="14.85546875" style="391" customWidth="1"/>
    <col min="16" max="17" width="2.7109375" style="164" customWidth="1"/>
    <col min="18" max="18" width="9.140625" style="164"/>
    <col min="19" max="19" width="10" style="164" bestFit="1" customWidth="1"/>
    <col min="20" max="16384" width="9.140625" style="164"/>
  </cols>
  <sheetData>
    <row r="2" spans="2:17" x14ac:dyDescent="0.2">
      <c r="B2" s="18"/>
      <c r="C2" s="19"/>
      <c r="D2" s="19"/>
      <c r="E2" s="19"/>
      <c r="F2" s="19"/>
      <c r="G2" s="19"/>
      <c r="H2" s="19"/>
      <c r="I2" s="161"/>
      <c r="J2" s="161"/>
      <c r="K2" s="161"/>
      <c r="L2" s="161"/>
      <c r="M2" s="161"/>
      <c r="N2" s="161"/>
      <c r="O2" s="161"/>
      <c r="P2" s="19"/>
      <c r="Q2" s="20"/>
    </row>
    <row r="3" spans="2:17" x14ac:dyDescent="0.2">
      <c r="B3" s="21"/>
      <c r="C3" s="22"/>
      <c r="D3" s="23"/>
      <c r="E3" s="22"/>
      <c r="F3" s="23"/>
      <c r="G3" s="23"/>
      <c r="H3" s="22"/>
      <c r="I3" s="160"/>
      <c r="J3" s="160"/>
      <c r="K3" s="160"/>
      <c r="L3" s="160"/>
      <c r="M3" s="160"/>
      <c r="N3" s="160"/>
      <c r="O3" s="160"/>
      <c r="P3" s="22"/>
      <c r="Q3" s="25"/>
    </row>
    <row r="4" spans="2:17" s="167" customFormat="1" ht="18.75" x14ac:dyDescent="0.3">
      <c r="B4" s="172"/>
      <c r="C4" s="602" t="s">
        <v>363</v>
      </c>
      <c r="D4" s="174"/>
      <c r="E4" s="174"/>
      <c r="F4" s="174"/>
      <c r="G4" s="174"/>
      <c r="H4" s="174"/>
      <c r="I4" s="381"/>
      <c r="J4" s="381"/>
      <c r="K4" s="381"/>
      <c r="L4" s="381"/>
      <c r="M4" s="381"/>
      <c r="N4" s="381"/>
      <c r="O4" s="381"/>
      <c r="P4" s="174"/>
      <c r="Q4" s="176"/>
    </row>
    <row r="5" spans="2:17" s="168" customFormat="1" ht="18.75" x14ac:dyDescent="0.3">
      <c r="B5" s="26"/>
      <c r="C5" s="1358" t="str">
        <f>'geg ll'!C5</f>
        <v>Voorbeeld SWV VO Alkmaar</v>
      </c>
      <c r="D5" s="27"/>
      <c r="E5" s="27"/>
      <c r="F5" s="27"/>
      <c r="G5" s="27"/>
      <c r="H5" s="27"/>
      <c r="I5" s="382"/>
      <c r="J5" s="382"/>
      <c r="K5" s="382"/>
      <c r="L5" s="382"/>
      <c r="M5" s="382"/>
      <c r="N5" s="382"/>
      <c r="O5" s="382"/>
      <c r="P5" s="27"/>
      <c r="Q5" s="28"/>
    </row>
    <row r="6" spans="2:17" x14ac:dyDescent="0.2">
      <c r="B6" s="21"/>
      <c r="C6" s="22"/>
      <c r="D6" s="23"/>
      <c r="E6" s="76"/>
      <c r="F6" s="56"/>
      <c r="G6" s="56"/>
      <c r="H6" s="76"/>
      <c r="I6" s="160"/>
      <c r="J6" s="160"/>
      <c r="K6" s="160"/>
      <c r="L6" s="160"/>
      <c r="M6" s="160"/>
      <c r="N6" s="160"/>
      <c r="O6" s="160"/>
      <c r="P6" s="22"/>
      <c r="Q6" s="25"/>
    </row>
    <row r="7" spans="2:17" ht="15" x14ac:dyDescent="0.25">
      <c r="B7" s="21"/>
      <c r="C7" s="853" t="s">
        <v>493</v>
      </c>
      <c r="D7" s="23"/>
      <c r="E7" s="76"/>
      <c r="F7" s="56"/>
      <c r="G7" s="56"/>
      <c r="H7" s="76"/>
      <c r="I7" s="160"/>
      <c r="J7" s="160"/>
      <c r="K7" s="160"/>
      <c r="L7" s="160"/>
      <c r="M7" s="160"/>
      <c r="N7" s="160"/>
      <c r="O7" s="160"/>
      <c r="P7" s="22"/>
      <c r="Q7" s="25"/>
    </row>
    <row r="8" spans="2:17" x14ac:dyDescent="0.2">
      <c r="B8" s="21"/>
      <c r="C8" s="22"/>
      <c r="D8" s="23"/>
      <c r="E8" s="76"/>
      <c r="F8" s="56"/>
      <c r="G8" s="56"/>
      <c r="H8" s="76"/>
      <c r="I8" s="546"/>
      <c r="J8" s="546"/>
      <c r="K8" s="546"/>
      <c r="L8" s="546"/>
      <c r="M8" s="546"/>
      <c r="N8" s="546"/>
      <c r="O8" s="546"/>
      <c r="P8" s="22"/>
      <c r="Q8" s="25"/>
    </row>
    <row r="9" spans="2:17" x14ac:dyDescent="0.2">
      <c r="B9" s="21"/>
      <c r="C9" s="22"/>
      <c r="D9" s="22"/>
      <c r="E9" s="558"/>
      <c r="F9" s="557"/>
      <c r="G9" s="569"/>
      <c r="H9" s="558" t="s">
        <v>119</v>
      </c>
      <c r="I9" s="1503" t="str">
        <f>tab!E2</f>
        <v>2018/19</v>
      </c>
      <c r="J9" s="1503" t="str">
        <f>tab!F2</f>
        <v>2019/20</v>
      </c>
      <c r="K9" s="1503" t="str">
        <f>tab!G2</f>
        <v>2020/21</v>
      </c>
      <c r="L9" s="1503" t="str">
        <f>tab!H2</f>
        <v>2021/22</v>
      </c>
      <c r="M9" s="1503" t="str">
        <f>tab!I2</f>
        <v>2022/23</v>
      </c>
      <c r="N9" s="1503" t="str">
        <f>tab!J2</f>
        <v>2023/24</v>
      </c>
      <c r="O9" s="1503" t="str">
        <f>tab!K2</f>
        <v>2024/25</v>
      </c>
      <c r="P9" s="22"/>
      <c r="Q9" s="25"/>
    </row>
    <row r="10" spans="2:17" x14ac:dyDescent="0.2">
      <c r="B10" s="21"/>
      <c r="C10" s="22"/>
      <c r="D10" s="58"/>
      <c r="E10" s="76"/>
      <c r="F10" s="56"/>
      <c r="G10" s="56"/>
      <c r="H10" s="76"/>
      <c r="I10" s="546"/>
      <c r="J10" s="546"/>
      <c r="K10" s="546"/>
      <c r="L10" s="546"/>
      <c r="M10" s="546"/>
      <c r="N10" s="546"/>
      <c r="O10" s="546"/>
      <c r="P10" s="22"/>
      <c r="Q10" s="25"/>
    </row>
    <row r="11" spans="2:17" x14ac:dyDescent="0.2">
      <c r="B11" s="21"/>
      <c r="C11" s="34"/>
      <c r="D11" s="36"/>
      <c r="E11" s="34"/>
      <c r="F11" s="36"/>
      <c r="G11" s="36"/>
      <c r="H11" s="34"/>
      <c r="I11" s="384"/>
      <c r="J11" s="392"/>
      <c r="K11" s="392"/>
      <c r="L11" s="392"/>
      <c r="M11" s="392"/>
      <c r="N11" s="392"/>
      <c r="O11" s="392"/>
      <c r="P11" s="34"/>
      <c r="Q11" s="25"/>
    </row>
    <row r="12" spans="2:17" x14ac:dyDescent="0.2">
      <c r="B12" s="21"/>
      <c r="C12" s="34"/>
      <c r="D12" s="567" t="s">
        <v>347</v>
      </c>
      <c r="E12" s="34"/>
      <c r="F12" s="36"/>
      <c r="G12" s="36"/>
      <c r="H12" s="34"/>
      <c r="I12" s="384"/>
      <c r="J12" s="392"/>
      <c r="K12" s="392"/>
      <c r="L12" s="392"/>
      <c r="M12" s="392"/>
      <c r="N12" s="392"/>
      <c r="O12" s="392"/>
      <c r="P12" s="34"/>
      <c r="Q12" s="25"/>
    </row>
    <row r="13" spans="2:17" x14ac:dyDescent="0.2">
      <c r="B13" s="21"/>
      <c r="C13" s="34"/>
      <c r="D13" s="36"/>
      <c r="E13" s="34"/>
      <c r="F13" s="36"/>
      <c r="G13" s="36"/>
      <c r="H13" s="34"/>
      <c r="I13" s="384"/>
      <c r="J13" s="392"/>
      <c r="K13" s="392"/>
      <c r="L13" s="392"/>
      <c r="M13" s="392"/>
      <c r="N13" s="392"/>
      <c r="O13" s="392"/>
      <c r="P13" s="34"/>
      <c r="Q13" s="25"/>
    </row>
    <row r="14" spans="2:17" x14ac:dyDescent="0.2">
      <c r="B14" s="21"/>
      <c r="C14" s="34"/>
      <c r="D14" s="36"/>
      <c r="E14" s="34"/>
      <c r="F14" s="36"/>
      <c r="G14" s="36"/>
      <c r="H14" s="34"/>
      <c r="I14" s="568" t="str">
        <f t="shared" ref="I14:N14" si="0">I9</f>
        <v>2018/19</v>
      </c>
      <c r="J14" s="568" t="str">
        <f t="shared" si="0"/>
        <v>2019/20</v>
      </c>
      <c r="K14" s="568" t="str">
        <f t="shared" si="0"/>
        <v>2020/21</v>
      </c>
      <c r="L14" s="568" t="str">
        <f t="shared" si="0"/>
        <v>2021/22</v>
      </c>
      <c r="M14" s="568" t="str">
        <f t="shared" si="0"/>
        <v>2022/23</v>
      </c>
      <c r="N14" s="568" t="str">
        <f t="shared" si="0"/>
        <v>2023/24</v>
      </c>
      <c r="O14" s="568" t="str">
        <f>O9</f>
        <v>2024/25</v>
      </c>
      <c r="P14" s="34"/>
      <c r="Q14" s="25"/>
    </row>
    <row r="15" spans="2:17" x14ac:dyDescent="0.2">
      <c r="B15" s="21"/>
      <c r="C15" s="34"/>
      <c r="D15" s="187" t="s">
        <v>364</v>
      </c>
      <c r="E15" s="34"/>
      <c r="F15" s="34"/>
      <c r="G15" s="34"/>
      <c r="H15" s="34"/>
      <c r="I15" s="524">
        <f t="shared" ref="I15:N15" si="1">+I150</f>
        <v>6209823.2199999997</v>
      </c>
      <c r="J15" s="524">
        <f t="shared" si="1"/>
        <v>5976383.5199999996</v>
      </c>
      <c r="K15" s="524">
        <f t="shared" si="1"/>
        <v>6405269.5099999998</v>
      </c>
      <c r="L15" s="524">
        <f t="shared" si="1"/>
        <v>6259105.5999999996</v>
      </c>
      <c r="M15" s="524">
        <f t="shared" si="1"/>
        <v>6259105.5999999996</v>
      </c>
      <c r="N15" s="524">
        <f t="shared" si="1"/>
        <v>6259105.5999999996</v>
      </c>
      <c r="O15" s="524">
        <f>+O150</f>
        <v>6259105.5999999996</v>
      </c>
      <c r="P15" s="34"/>
      <c r="Q15" s="25"/>
    </row>
    <row r="16" spans="2:17" x14ac:dyDescent="0.2">
      <c r="B16" s="21"/>
      <c r="C16" s="34"/>
      <c r="D16" s="34" t="s">
        <v>28</v>
      </c>
      <c r="E16" s="34"/>
      <c r="F16" s="34"/>
      <c r="G16" s="34"/>
      <c r="H16" s="34"/>
      <c r="I16" s="571">
        <f>+pers!H229+pers!H234</f>
        <v>0</v>
      </c>
      <c r="J16" s="571">
        <f>+pers!I229+pers!I234</f>
        <v>9979973.875</v>
      </c>
      <c r="K16" s="571">
        <f>+pers!J229</f>
        <v>9342158.6999999993</v>
      </c>
      <c r="L16" s="571">
        <f>+pers!K229</f>
        <v>9757444.5600000005</v>
      </c>
      <c r="M16" s="571">
        <f>+pers!L229</f>
        <v>9757444.5600000005</v>
      </c>
      <c r="N16" s="571">
        <f>+pers!M229</f>
        <v>9757444.5600000005</v>
      </c>
      <c r="O16" s="571">
        <f>+pers!N229</f>
        <v>9757444.5600000005</v>
      </c>
      <c r="P16" s="34"/>
      <c r="Q16" s="25"/>
    </row>
    <row r="17" spans="2:17" x14ac:dyDescent="0.2">
      <c r="B17" s="21"/>
      <c r="C17" s="34"/>
      <c r="D17" s="195" t="s">
        <v>9</v>
      </c>
      <c r="E17" s="34"/>
      <c r="F17" s="34"/>
      <c r="G17" s="34"/>
      <c r="H17" s="34"/>
      <c r="I17" s="527">
        <f t="shared" ref="I17:N17" si="2">IF(I15&gt;I16,I15-I16,0)</f>
        <v>6209823.2199999997</v>
      </c>
      <c r="J17" s="527">
        <f t="shared" si="2"/>
        <v>0</v>
      </c>
      <c r="K17" s="527">
        <f t="shared" si="2"/>
        <v>0</v>
      </c>
      <c r="L17" s="527">
        <f t="shared" si="2"/>
        <v>0</v>
      </c>
      <c r="M17" s="527">
        <f t="shared" si="2"/>
        <v>0</v>
      </c>
      <c r="N17" s="527">
        <f t="shared" si="2"/>
        <v>0</v>
      </c>
      <c r="O17" s="527">
        <f>IF(O15&gt;O16,O15-O16,0)</f>
        <v>0</v>
      </c>
      <c r="P17" s="34"/>
      <c r="Q17" s="25"/>
    </row>
    <row r="18" spans="2:17" x14ac:dyDescent="0.2">
      <c r="B18" s="79"/>
      <c r="C18" s="195"/>
      <c r="D18" s="195" t="s">
        <v>365</v>
      </c>
      <c r="E18" s="195"/>
      <c r="F18" s="195"/>
      <c r="G18" s="195"/>
      <c r="H18" s="195"/>
      <c r="I18" s="528">
        <f>ROUND(I17/'geg ll'!G71,2)</f>
        <v>372.76</v>
      </c>
      <c r="J18" s="528">
        <f>ROUND(J17/'geg ll'!H71,2)</f>
        <v>0</v>
      </c>
      <c r="K18" s="528">
        <f>ROUND(K17/'geg ll'!I71,2)</f>
        <v>0</v>
      </c>
      <c r="L18" s="528">
        <f>ROUND(L17/'geg ll'!J71,2)</f>
        <v>0</v>
      </c>
      <c r="M18" s="528">
        <f>ROUND(M17/'geg ll'!K71,2)</f>
        <v>0</v>
      </c>
      <c r="N18" s="528">
        <f>ROUND(N17/'geg ll'!L71,2)</f>
        <v>0</v>
      </c>
      <c r="O18" s="528">
        <f>ROUND(O17/'geg ll'!M71,2)</f>
        <v>0</v>
      </c>
      <c r="P18" s="195"/>
      <c r="Q18" s="90"/>
    </row>
    <row r="19" spans="2:17" x14ac:dyDescent="0.2">
      <c r="B19" s="21"/>
      <c r="C19" s="34"/>
      <c r="D19" s="34"/>
      <c r="E19" s="34"/>
      <c r="F19" s="34"/>
      <c r="G19" s="34"/>
      <c r="H19" s="34"/>
      <c r="I19" s="392"/>
      <c r="J19" s="392"/>
      <c r="K19" s="392"/>
      <c r="L19" s="392"/>
      <c r="M19" s="392"/>
      <c r="N19" s="392"/>
      <c r="O19" s="392"/>
      <c r="P19" s="34"/>
      <c r="Q19" s="25"/>
    </row>
    <row r="20" spans="2:17" x14ac:dyDescent="0.2">
      <c r="B20" s="21"/>
      <c r="C20" s="34"/>
      <c r="D20" s="34"/>
      <c r="E20" s="34"/>
      <c r="F20" s="34"/>
      <c r="G20" s="34"/>
      <c r="H20" s="34"/>
      <c r="I20" s="597">
        <f>tab!E4</f>
        <v>2018</v>
      </c>
      <c r="J20" s="1396"/>
      <c r="K20" s="597">
        <f>tab!G4</f>
        <v>2020</v>
      </c>
      <c r="L20" s="597">
        <f>tab!H4</f>
        <v>2021</v>
      </c>
      <c r="M20" s="597">
        <f>tab!I4</f>
        <v>2022</v>
      </c>
      <c r="N20" s="597">
        <f>tab!J4</f>
        <v>2023</v>
      </c>
      <c r="O20" s="597">
        <f>tab!K4</f>
        <v>2024</v>
      </c>
      <c r="P20" s="34"/>
      <c r="Q20" s="25"/>
    </row>
    <row r="21" spans="2:17" s="169" customFormat="1" x14ac:dyDescent="0.2">
      <c r="B21" s="21"/>
      <c r="C21" s="34"/>
      <c r="D21" s="187" t="s">
        <v>366</v>
      </c>
      <c r="E21" s="34"/>
      <c r="F21" s="34"/>
      <c r="G21" s="34"/>
      <c r="H21" s="34"/>
      <c r="I21" s="524">
        <f t="shared" ref="I21:N21" si="3">I266</f>
        <v>352959.82000000007</v>
      </c>
      <c r="J21" s="957"/>
      <c r="K21" s="524">
        <f t="shared" si="3"/>
        <v>363562.76</v>
      </c>
      <c r="L21" s="524">
        <f t="shared" si="3"/>
        <v>357081.66000000003</v>
      </c>
      <c r="M21" s="524">
        <f t="shared" si="3"/>
        <v>357081.66000000003</v>
      </c>
      <c r="N21" s="524">
        <f t="shared" si="3"/>
        <v>357081.66000000003</v>
      </c>
      <c r="O21" s="524">
        <f>O266</f>
        <v>357081.66000000003</v>
      </c>
      <c r="P21" s="34"/>
      <c r="Q21" s="25"/>
    </row>
    <row r="22" spans="2:17" s="169" customFormat="1" x14ac:dyDescent="0.2">
      <c r="B22" s="21"/>
      <c r="C22" s="34"/>
      <c r="D22" s="34" t="s">
        <v>10</v>
      </c>
      <c r="E22" s="34"/>
      <c r="F22" s="34"/>
      <c r="G22" s="34"/>
      <c r="H22" s="34"/>
      <c r="I22" s="524">
        <f>+mat!J33+mat!J38</f>
        <v>0</v>
      </c>
      <c r="J22" s="957"/>
      <c r="K22" s="524">
        <f>+mat!K33+mat!K38</f>
        <v>460513.2</v>
      </c>
      <c r="L22" s="524">
        <f>+mat!L33+mat!L38</f>
        <v>444904</v>
      </c>
      <c r="M22" s="524">
        <f>+mat!M33+mat!M38</f>
        <v>444904</v>
      </c>
      <c r="N22" s="524">
        <f>+mat!N33+mat!N38</f>
        <v>444904</v>
      </c>
      <c r="O22" s="524">
        <f>+mat!O33+mat!O38</f>
        <v>444904</v>
      </c>
      <c r="P22" s="34"/>
      <c r="Q22" s="25"/>
    </row>
    <row r="23" spans="2:17" s="169" customFormat="1" x14ac:dyDescent="0.2">
      <c r="B23" s="21"/>
      <c r="C23" s="34"/>
      <c r="D23" s="195" t="s">
        <v>11</v>
      </c>
      <c r="E23" s="186"/>
      <c r="F23" s="36"/>
      <c r="G23" s="36"/>
      <c r="H23" s="186"/>
      <c r="I23" s="527">
        <f t="shared" ref="I23:N23" si="4">IF(I21&gt;I22,I21-I22,0)</f>
        <v>352959.82000000007</v>
      </c>
      <c r="J23" s="1578"/>
      <c r="K23" s="527">
        <f t="shared" si="4"/>
        <v>0</v>
      </c>
      <c r="L23" s="527">
        <f t="shared" si="4"/>
        <v>0</v>
      </c>
      <c r="M23" s="527">
        <f t="shared" si="4"/>
        <v>0</v>
      </c>
      <c r="N23" s="527">
        <f t="shared" si="4"/>
        <v>0</v>
      </c>
      <c r="O23" s="527">
        <f>IF(O21&gt;O22,O21-O22,0)</f>
        <v>0</v>
      </c>
      <c r="P23" s="186"/>
      <c r="Q23" s="25"/>
    </row>
    <row r="24" spans="2:17" s="169" customFormat="1" x14ac:dyDescent="0.2">
      <c r="B24" s="21"/>
      <c r="C24" s="34"/>
      <c r="D24" s="195" t="s">
        <v>365</v>
      </c>
      <c r="E24" s="34"/>
      <c r="F24" s="34"/>
      <c r="G24" s="34"/>
      <c r="H24" s="34"/>
      <c r="I24" s="528">
        <f>ROUND(I23/'geg ll'!G71,2)</f>
        <v>21.19</v>
      </c>
      <c r="J24" s="1602"/>
      <c r="K24" s="528">
        <f>ROUND(K23/'geg ll'!I71,2)</f>
        <v>0</v>
      </c>
      <c r="L24" s="528">
        <f>ROUND(L23/'geg ll'!J71,2)</f>
        <v>0</v>
      </c>
      <c r="M24" s="528">
        <f>ROUND(M23/'geg ll'!K71,2)</f>
        <v>0</v>
      </c>
      <c r="N24" s="528">
        <f>ROUND(N23/'geg ll'!L71,2)</f>
        <v>0</v>
      </c>
      <c r="O24" s="528">
        <f>ROUND(O23/'geg ll'!M71,2)</f>
        <v>0</v>
      </c>
      <c r="P24" s="34"/>
      <c r="Q24" s="25"/>
    </row>
    <row r="25" spans="2:17" s="169" customFormat="1" x14ac:dyDescent="0.2">
      <c r="B25" s="21"/>
      <c r="C25" s="34"/>
      <c r="D25" s="514"/>
      <c r="E25" s="514"/>
      <c r="F25" s="514"/>
      <c r="G25" s="514"/>
      <c r="H25" s="514"/>
      <c r="I25" s="572"/>
      <c r="J25" s="572"/>
      <c r="K25" s="572"/>
      <c r="L25" s="572"/>
      <c r="M25" s="572"/>
      <c r="N25" s="572"/>
      <c r="O25" s="572"/>
      <c r="P25" s="34"/>
      <c r="Q25" s="25"/>
    </row>
    <row r="26" spans="2:17" s="169" customFormat="1" x14ac:dyDescent="0.2">
      <c r="B26" s="21"/>
      <c r="C26" s="34"/>
      <c r="D26" s="32"/>
      <c r="E26" s="32"/>
      <c r="F26" s="32"/>
      <c r="G26" s="32"/>
      <c r="H26" s="32"/>
      <c r="I26" s="545"/>
      <c r="J26" s="545"/>
      <c r="K26" s="545"/>
      <c r="L26" s="545"/>
      <c r="M26" s="545"/>
      <c r="N26" s="545"/>
      <c r="O26" s="545"/>
      <c r="P26" s="34"/>
      <c r="Q26" s="25"/>
    </row>
    <row r="27" spans="2:17" s="169" customFormat="1" x14ac:dyDescent="0.2">
      <c r="B27" s="21"/>
      <c r="C27" s="34"/>
      <c r="D27" s="34"/>
      <c r="E27" s="34"/>
      <c r="F27" s="34"/>
      <c r="G27" s="34"/>
      <c r="H27" s="34"/>
      <c r="I27" s="568" t="str">
        <f t="shared" ref="I27:N27" si="5">I9</f>
        <v>2018/19</v>
      </c>
      <c r="J27" s="568" t="str">
        <f t="shared" si="5"/>
        <v>2019/20</v>
      </c>
      <c r="K27" s="568" t="str">
        <f t="shared" si="5"/>
        <v>2020/21</v>
      </c>
      <c r="L27" s="568" t="str">
        <f t="shared" si="5"/>
        <v>2021/22</v>
      </c>
      <c r="M27" s="568" t="str">
        <f t="shared" si="5"/>
        <v>2022/23</v>
      </c>
      <c r="N27" s="568" t="str">
        <f t="shared" si="5"/>
        <v>2023/24</v>
      </c>
      <c r="O27" s="568" t="str">
        <f>O9</f>
        <v>2024/25</v>
      </c>
      <c r="P27" s="34"/>
      <c r="Q27" s="25"/>
    </row>
    <row r="28" spans="2:17" s="169" customFormat="1" x14ac:dyDescent="0.2">
      <c r="B28" s="21"/>
      <c r="C28" s="34"/>
      <c r="D28" s="187" t="s">
        <v>50</v>
      </c>
      <c r="E28" s="34"/>
      <c r="F28" s="187"/>
      <c r="G28" s="34"/>
      <c r="H28" s="34"/>
      <c r="I28" s="527">
        <f>+I17+5/12*I23+7/12*J23</f>
        <v>6356889.8116666665</v>
      </c>
      <c r="J28" s="527">
        <f>+J17+5/12*J23+7/12*K23</f>
        <v>0</v>
      </c>
      <c r="K28" s="527">
        <f>+K17+5/12*K23+7/12*L23</f>
        <v>0</v>
      </c>
      <c r="L28" s="527">
        <f>+L17+5/12*L23+7/12*M23</f>
        <v>0</v>
      </c>
      <c r="M28" s="527">
        <f>+M17+5/12*M23+7/12*N23</f>
        <v>0</v>
      </c>
      <c r="N28" s="527">
        <f>+N17+N23</f>
        <v>0</v>
      </c>
      <c r="O28" s="527">
        <f>+O17+O23</f>
        <v>0</v>
      </c>
      <c r="P28" s="34"/>
      <c r="Q28" s="25"/>
    </row>
    <row r="29" spans="2:17" s="169" customFormat="1" x14ac:dyDescent="0.2">
      <c r="B29" s="21"/>
      <c r="C29" s="34"/>
      <c r="D29" s="187" t="s">
        <v>365</v>
      </c>
      <c r="E29" s="34"/>
      <c r="F29" s="34"/>
      <c r="G29" s="34"/>
      <c r="H29" s="34"/>
      <c r="I29" s="529">
        <f>ROUND(I28/'geg ll'!G71,2)</f>
        <v>381.59</v>
      </c>
      <c r="J29" s="529">
        <f>ROUND(J28/'geg ll'!H71,2)</f>
        <v>0</v>
      </c>
      <c r="K29" s="529">
        <f>ROUND(K28/'geg ll'!I71,2)</f>
        <v>0</v>
      </c>
      <c r="L29" s="529">
        <f>ROUND(L28/'geg ll'!J71,2)</f>
        <v>0</v>
      </c>
      <c r="M29" s="529">
        <f>ROUND(M28/'geg ll'!K71,2)</f>
        <v>0</v>
      </c>
      <c r="N29" s="529">
        <f>ROUND(N28/'geg ll'!L71,2)</f>
        <v>0</v>
      </c>
      <c r="O29" s="529">
        <f>ROUND(O28/'geg ll'!M71,2)</f>
        <v>0</v>
      </c>
      <c r="P29" s="34"/>
      <c r="Q29" s="25"/>
    </row>
    <row r="30" spans="2:17" s="169" customFormat="1" x14ac:dyDescent="0.2">
      <c r="B30" s="21"/>
      <c r="C30" s="34"/>
      <c r="D30" s="34"/>
      <c r="E30" s="34"/>
      <c r="F30" s="34"/>
      <c r="G30" s="34"/>
      <c r="H30" s="34"/>
      <c r="I30" s="392"/>
      <c r="J30" s="392"/>
      <c r="K30" s="392"/>
      <c r="L30" s="392"/>
      <c r="M30" s="392"/>
      <c r="N30" s="392"/>
      <c r="O30" s="392"/>
      <c r="P30" s="34"/>
      <c r="Q30" s="25"/>
    </row>
    <row r="31" spans="2:17" x14ac:dyDescent="0.2">
      <c r="B31" s="21"/>
      <c r="C31" s="34"/>
      <c r="D31" s="34"/>
      <c r="E31" s="34"/>
      <c r="F31" s="34"/>
      <c r="G31" s="34"/>
      <c r="H31" s="34"/>
      <c r="I31" s="1396"/>
      <c r="J31" s="597"/>
      <c r="K31" s="597">
        <f t="shared" ref="K31:O31" si="6">K20</f>
        <v>2020</v>
      </c>
      <c r="L31" s="597">
        <f t="shared" si="6"/>
        <v>2021</v>
      </c>
      <c r="M31" s="597">
        <f t="shared" si="6"/>
        <v>2022</v>
      </c>
      <c r="N31" s="597">
        <f t="shared" si="6"/>
        <v>2023</v>
      </c>
      <c r="O31" s="597">
        <f t="shared" si="6"/>
        <v>2024</v>
      </c>
      <c r="P31" s="34"/>
      <c r="Q31" s="25"/>
    </row>
    <row r="32" spans="2:17" x14ac:dyDescent="0.2">
      <c r="B32" s="21"/>
      <c r="C32" s="34"/>
      <c r="D32" s="187" t="s">
        <v>51</v>
      </c>
      <c r="E32" s="34"/>
      <c r="F32" s="34"/>
      <c r="G32" s="34"/>
      <c r="H32" s="34"/>
      <c r="I32" s="1397"/>
      <c r="J32" s="1578"/>
      <c r="K32" s="527">
        <f t="shared" ref="K32:O32" si="7">7/12*J17+5/12*K17+K23</f>
        <v>0</v>
      </c>
      <c r="L32" s="527">
        <f t="shared" si="7"/>
        <v>0</v>
      </c>
      <c r="M32" s="527">
        <f t="shared" si="7"/>
        <v>0</v>
      </c>
      <c r="N32" s="527">
        <f t="shared" si="7"/>
        <v>0</v>
      </c>
      <c r="O32" s="527">
        <f t="shared" si="7"/>
        <v>0</v>
      </c>
      <c r="P32" s="34"/>
      <c r="Q32" s="25"/>
    </row>
    <row r="33" spans="2:32" x14ac:dyDescent="0.2">
      <c r="B33" s="21"/>
      <c r="C33" s="34"/>
      <c r="D33" s="187" t="s">
        <v>365</v>
      </c>
      <c r="E33" s="34"/>
      <c r="F33" s="34"/>
      <c r="G33" s="34"/>
      <c r="H33" s="34"/>
      <c r="I33" s="1398"/>
      <c r="J33" s="1579"/>
      <c r="K33" s="529">
        <f>ROUND(K32/'geg ll'!I71,2)</f>
        <v>0</v>
      </c>
      <c r="L33" s="529">
        <f>ROUND(L32/'geg ll'!J71,2)</f>
        <v>0</v>
      </c>
      <c r="M33" s="529">
        <f>ROUND(M32/'geg ll'!K71,2)</f>
        <v>0</v>
      </c>
      <c r="N33" s="529">
        <f>ROUND(N32/'geg ll'!L71,2)</f>
        <v>0</v>
      </c>
      <c r="O33" s="529">
        <f>ROUND(O32/'geg ll'!M71,2)</f>
        <v>0</v>
      </c>
      <c r="P33" s="34"/>
      <c r="Q33" s="25"/>
    </row>
    <row r="34" spans="2:32" x14ac:dyDescent="0.2">
      <c r="B34" s="21"/>
      <c r="C34" s="34"/>
      <c r="D34" s="34"/>
      <c r="E34" s="34"/>
      <c r="F34" s="34"/>
      <c r="G34" s="34"/>
      <c r="H34" s="34"/>
      <c r="I34" s="392"/>
      <c r="J34" s="392"/>
      <c r="K34" s="392"/>
      <c r="L34" s="392"/>
      <c r="M34" s="392"/>
      <c r="N34" s="392"/>
      <c r="O34" s="392"/>
      <c r="P34" s="34"/>
      <c r="Q34" s="25"/>
    </row>
    <row r="35" spans="2:32" x14ac:dyDescent="0.2">
      <c r="B35" s="21"/>
      <c r="C35" s="160"/>
      <c r="D35" s="160"/>
      <c r="E35" s="160"/>
      <c r="F35" s="160"/>
      <c r="G35" s="160"/>
      <c r="H35" s="160"/>
      <c r="I35" s="160"/>
      <c r="J35" s="160"/>
      <c r="K35" s="160"/>
      <c r="L35" s="160"/>
      <c r="M35" s="160"/>
      <c r="N35" s="160"/>
      <c r="O35" s="160"/>
      <c r="P35" s="160"/>
      <c r="Q35" s="25"/>
    </row>
    <row r="36" spans="2:32" x14ac:dyDescent="0.2">
      <c r="B36" s="180"/>
      <c r="C36" s="163"/>
      <c r="D36" s="163"/>
      <c r="E36" s="163"/>
      <c r="F36" s="163"/>
      <c r="G36" s="163"/>
      <c r="H36" s="163"/>
      <c r="I36" s="163"/>
      <c r="J36" s="163"/>
      <c r="K36" s="163"/>
      <c r="L36" s="163"/>
      <c r="M36" s="163"/>
      <c r="N36" s="163"/>
      <c r="O36" s="163"/>
      <c r="P36" s="163"/>
      <c r="Q36" s="181"/>
    </row>
    <row r="37" spans="2:32" x14ac:dyDescent="0.2">
      <c r="B37" s="18"/>
      <c r="C37" s="161"/>
      <c r="D37" s="161"/>
      <c r="E37" s="161"/>
      <c r="F37" s="161"/>
      <c r="G37" s="161"/>
      <c r="H37" s="161"/>
      <c r="I37" s="161"/>
      <c r="J37" s="161"/>
      <c r="K37" s="161"/>
      <c r="L37" s="161"/>
      <c r="M37" s="161"/>
      <c r="N37" s="161"/>
      <c r="O37" s="161"/>
      <c r="P37" s="161"/>
      <c r="Q37" s="20"/>
    </row>
    <row r="38" spans="2:32" x14ac:dyDescent="0.2">
      <c r="B38" s="21"/>
      <c r="C38" s="160"/>
      <c r="D38" s="160"/>
      <c r="E38" s="160"/>
      <c r="F38" s="160"/>
      <c r="G38" s="160"/>
      <c r="H38" s="160"/>
      <c r="I38" s="160"/>
      <c r="J38" s="160"/>
      <c r="K38" s="160"/>
      <c r="L38" s="160"/>
      <c r="M38" s="160"/>
      <c r="N38" s="160"/>
      <c r="O38" s="160"/>
      <c r="P38" s="160"/>
      <c r="Q38" s="25"/>
    </row>
    <row r="39" spans="2:32" x14ac:dyDescent="0.2">
      <c r="B39" s="21"/>
      <c r="C39" s="160"/>
      <c r="D39" s="575"/>
      <c r="E39" s="575"/>
      <c r="F39" s="575"/>
      <c r="G39" s="575"/>
      <c r="H39" s="575"/>
      <c r="I39" s="559" t="str">
        <f t="shared" ref="I39:N39" si="8">+I9</f>
        <v>2018/19</v>
      </c>
      <c r="J39" s="559" t="str">
        <f t="shared" si="8"/>
        <v>2019/20</v>
      </c>
      <c r="K39" s="559" t="str">
        <f t="shared" si="8"/>
        <v>2020/21</v>
      </c>
      <c r="L39" s="559" t="str">
        <f t="shared" si="8"/>
        <v>2021/22</v>
      </c>
      <c r="M39" s="559" t="str">
        <f t="shared" si="8"/>
        <v>2022/23</v>
      </c>
      <c r="N39" s="559" t="str">
        <f t="shared" si="8"/>
        <v>2023/24</v>
      </c>
      <c r="O39" s="559" t="str">
        <f>+O9</f>
        <v>2024/25</v>
      </c>
      <c r="P39" s="160"/>
      <c r="Q39" s="25"/>
    </row>
    <row r="40" spans="2:32" x14ac:dyDescent="0.2">
      <c r="B40" s="21"/>
      <c r="C40" s="160"/>
      <c r="D40" s="575"/>
      <c r="E40" s="575"/>
      <c r="F40" s="575"/>
      <c r="G40" s="575"/>
      <c r="H40" s="575"/>
      <c r="I40" s="575"/>
      <c r="J40" s="575"/>
      <c r="K40" s="575"/>
      <c r="L40" s="575"/>
      <c r="M40" s="575"/>
      <c r="N40" s="575"/>
      <c r="O40" s="575"/>
      <c r="P40" s="160"/>
      <c r="Q40" s="25"/>
    </row>
    <row r="41" spans="2:32" x14ac:dyDescent="0.2">
      <c r="B41" s="21"/>
      <c r="C41" s="32"/>
      <c r="D41" s="583"/>
      <c r="E41" s="584"/>
      <c r="F41" s="583"/>
      <c r="G41" s="583"/>
      <c r="H41" s="584"/>
      <c r="I41" s="585"/>
      <c r="J41" s="585"/>
      <c r="K41" s="585"/>
      <c r="L41" s="585"/>
      <c r="M41" s="585"/>
      <c r="N41" s="585"/>
      <c r="O41" s="585"/>
      <c r="P41" s="32"/>
      <c r="Q41" s="25"/>
    </row>
    <row r="42" spans="2:32" x14ac:dyDescent="0.2">
      <c r="B42" s="21"/>
      <c r="C42" s="34"/>
      <c r="D42" s="567" t="s">
        <v>17</v>
      </c>
      <c r="E42" s="573"/>
      <c r="F42" s="567"/>
      <c r="G42" s="567"/>
      <c r="H42" s="573"/>
      <c r="I42" s="586"/>
      <c r="J42" s="586"/>
      <c r="K42" s="586"/>
      <c r="L42" s="586"/>
      <c r="M42" s="586"/>
      <c r="N42" s="586"/>
      <c r="O42" s="586"/>
      <c r="P42" s="34"/>
      <c r="Q42" s="25"/>
    </row>
    <row r="43" spans="2:32" x14ac:dyDescent="0.2">
      <c r="B43" s="21"/>
      <c r="C43" s="34"/>
      <c r="D43" s="393"/>
      <c r="E43" s="34"/>
      <c r="F43" s="393"/>
      <c r="G43" s="393"/>
      <c r="H43" s="34"/>
      <c r="I43" s="392"/>
      <c r="J43" s="392"/>
      <c r="K43" s="392"/>
      <c r="L43" s="392"/>
      <c r="M43" s="392"/>
      <c r="N43" s="392"/>
      <c r="O43" s="392"/>
      <c r="P43" s="34"/>
      <c r="Q43" s="25"/>
      <c r="AD43" s="192"/>
      <c r="AE43" s="192"/>
      <c r="AF43" s="192"/>
    </row>
    <row r="44" spans="2:32" x14ac:dyDescent="0.2">
      <c r="B44" s="21"/>
      <c r="C44" s="34"/>
      <c r="D44" s="566" t="str">
        <f>'geg ll'!D99</f>
        <v>School 1</v>
      </c>
      <c r="E44" s="34"/>
      <c r="F44" s="384" t="s">
        <v>342</v>
      </c>
      <c r="G44" s="70"/>
      <c r="H44" s="34"/>
      <c r="I44" s="526">
        <f>ROUND('geg ll'!G99*VLOOKUP($F44,categoriePersVSO,8,FALSE),2)</f>
        <v>4521249.5999999996</v>
      </c>
      <c r="J44" s="526">
        <f>ROUND('geg ll'!G99*VLOOKUP($F44,categoriePersVSO,6,FALSE),2)</f>
        <v>4351285.5599999996</v>
      </c>
      <c r="K44" s="526">
        <f>ROUND('geg ll'!H99*VLOOKUP($F44,categoriePersVSO,7,FALSE),2)</f>
        <v>4795904.57</v>
      </c>
      <c r="L44" s="526">
        <f>ROUND('geg ll'!I99*VLOOKUP($F44,categoriePersVSO,8,FALSE),2)</f>
        <v>4676011.2</v>
      </c>
      <c r="M44" s="526">
        <f>ROUND('geg ll'!J99*VLOOKUP($F44,categoriePersVSO,8,FALSE),2)</f>
        <v>4676011.2</v>
      </c>
      <c r="N44" s="526">
        <f>ROUND('geg ll'!K99*VLOOKUP($F44,categoriePersVSO,8,FALSE),2)</f>
        <v>4676011.2</v>
      </c>
      <c r="O44" s="526">
        <f>ROUND('geg ll'!L99*VLOOKUP($F44,categoriePersVSO,8,FALSE),2)</f>
        <v>4676011.2</v>
      </c>
      <c r="P44" s="34"/>
      <c r="Q44" s="25"/>
    </row>
    <row r="45" spans="2:32" x14ac:dyDescent="0.2">
      <c r="B45" s="21"/>
      <c r="C45" s="34"/>
      <c r="D45" s="187" t="s">
        <v>15</v>
      </c>
      <c r="E45" s="34"/>
      <c r="F45" s="384" t="s">
        <v>343</v>
      </c>
      <c r="G45" s="70"/>
      <c r="H45" s="34"/>
      <c r="I45" s="526">
        <f>ROUND('geg ll'!G100*VLOOKUP($F45,categoriePersVSO,8,FALSE),2)</f>
        <v>582286.5</v>
      </c>
      <c r="J45" s="526">
        <f>ROUND('geg ll'!G100*VLOOKUP($F45,categoriePersVSO,6,FALSE),2)</f>
        <v>560397.6</v>
      </c>
      <c r="K45" s="526">
        <f>ROUND('geg ll'!H100*VLOOKUP($F45,categoriePersVSO,7,FALSE),2)</f>
        <v>558814.34</v>
      </c>
      <c r="L45" s="526">
        <f>ROUND('geg ll'!I100*VLOOKUP($F45,categoriePersVSO,8,FALSE),2)</f>
        <v>621105.6</v>
      </c>
      <c r="M45" s="526">
        <f>ROUND('geg ll'!J100*VLOOKUP($F45,categoriePersVSO,8,FALSE),2)</f>
        <v>621105.6</v>
      </c>
      <c r="N45" s="526">
        <f>ROUND('geg ll'!K100*VLOOKUP($F45,categoriePersVSO,8,FALSE),2)</f>
        <v>621105.6</v>
      </c>
      <c r="O45" s="526">
        <f>ROUND('geg ll'!L100*VLOOKUP($F45,categoriePersVSO,8,FALSE),2)</f>
        <v>621105.6</v>
      </c>
      <c r="P45" s="34"/>
      <c r="Q45" s="25"/>
    </row>
    <row r="46" spans="2:32" x14ac:dyDescent="0.2">
      <c r="B46" s="21"/>
      <c r="C46" s="34"/>
      <c r="D46" s="187"/>
      <c r="E46" s="34"/>
      <c r="F46" s="384" t="s">
        <v>344</v>
      </c>
      <c r="G46" s="70"/>
      <c r="H46" s="34"/>
      <c r="I46" s="526">
        <f>ROUND('geg ll'!G101*VLOOKUP($F46,categoriePersVSO,8,FALSE),2)</f>
        <v>1106287.1200000001</v>
      </c>
      <c r="J46" s="526">
        <f>ROUND('geg ll'!G101*VLOOKUP($F46,categoriePersVSO,6,FALSE),2)</f>
        <v>1064700.3600000001</v>
      </c>
      <c r="K46" s="526">
        <f>ROUND('geg ll'!H101*VLOOKUP($F46,categoriePersVSO,7,FALSE),2)</f>
        <v>1050550.6000000001</v>
      </c>
      <c r="L46" s="526">
        <f>ROUND('geg ll'!I101*VLOOKUP($F46,categoriePersVSO,8,FALSE),2)</f>
        <v>961988.8</v>
      </c>
      <c r="M46" s="526">
        <f>ROUND('geg ll'!J101*VLOOKUP($F46,categoriePersVSO,8,FALSE),2)</f>
        <v>961988.8</v>
      </c>
      <c r="N46" s="526">
        <f>ROUND('geg ll'!K101*VLOOKUP($F46,categoriePersVSO,8,FALSE),2)</f>
        <v>961988.8</v>
      </c>
      <c r="O46" s="526">
        <f>ROUND('geg ll'!L101*VLOOKUP($F46,categoriePersVSO,8,FALSE),2)</f>
        <v>961988.8</v>
      </c>
      <c r="P46" s="34"/>
      <c r="Q46" s="25"/>
    </row>
    <row r="47" spans="2:32" x14ac:dyDescent="0.2">
      <c r="B47" s="21"/>
      <c r="C47" s="34"/>
      <c r="D47" s="566" t="str">
        <f>'geg ll'!D103</f>
        <v>School 2</v>
      </c>
      <c r="E47" s="34"/>
      <c r="F47" s="34" t="str">
        <f>IF('geg ll'!F103=1,"categorie 1",IF('geg ll'!F103=2,"categorie 2","categorie 3"))</f>
        <v>categorie 1</v>
      </c>
      <c r="G47" s="70"/>
      <c r="H47" s="34"/>
      <c r="I47" s="526">
        <f>ROUND('geg ll'!G103*VLOOKUP($F47,categoriePersVSO,8,FALSE),2)</f>
        <v>0</v>
      </c>
      <c r="J47" s="526">
        <f>ROUND('geg ll'!G103*VLOOKUP($F47,categoriePersVSO,6,FALSE),2)</f>
        <v>0</v>
      </c>
      <c r="K47" s="526">
        <f>ROUND('geg ll'!H103*VLOOKUP($F47,categoriePersVSO,7,FALSE),2)</f>
        <v>0</v>
      </c>
      <c r="L47" s="526">
        <f>ROUND('geg ll'!I103*VLOOKUP($F47,categoriePersVSO,8,FALSE),2)</f>
        <v>0</v>
      </c>
      <c r="M47" s="526">
        <f>ROUND('geg ll'!J103*VLOOKUP($F47,categoriePersVSO,8,FALSE),2)</f>
        <v>0</v>
      </c>
      <c r="N47" s="526">
        <f>ROUND('geg ll'!K103*VLOOKUP($F47,categoriePersVSO,8,FALSE),2)</f>
        <v>0</v>
      </c>
      <c r="O47" s="526">
        <f>ROUND('geg ll'!L103*VLOOKUP($F47,categoriePersVSO,8,FALSE),2)</f>
        <v>0</v>
      </c>
      <c r="P47" s="34"/>
      <c r="Q47" s="25"/>
    </row>
    <row r="48" spans="2:32" x14ac:dyDescent="0.2">
      <c r="B48" s="29"/>
      <c r="C48" s="186"/>
      <c r="D48" s="187" t="s">
        <v>15</v>
      </c>
      <c r="E48" s="34"/>
      <c r="F48" s="34" t="str">
        <f>IF('geg ll'!F104=1,"categorie 1",IF('geg ll'!F104=2,"categorie 2","categorie 3"))</f>
        <v>categorie 2</v>
      </c>
      <c r="G48" s="70"/>
      <c r="H48" s="34"/>
      <c r="I48" s="526">
        <f>ROUND('geg ll'!G104*VLOOKUP($F48,categoriePersVSO,8,FALSE),2)</f>
        <v>0</v>
      </c>
      <c r="J48" s="526">
        <f>ROUND('geg ll'!G104*VLOOKUP($F48,categoriePersVSO,6,FALSE),2)</f>
        <v>0</v>
      </c>
      <c r="K48" s="526">
        <f>ROUND('geg ll'!H104*VLOOKUP($F48,categoriePersVSO,7,FALSE),2)</f>
        <v>0</v>
      </c>
      <c r="L48" s="526">
        <f>ROUND('geg ll'!I104*VLOOKUP($F48,categoriePersVSO,8,FALSE),2)</f>
        <v>0</v>
      </c>
      <c r="M48" s="526">
        <f>ROUND('geg ll'!J104*VLOOKUP($F48,categoriePersVSO,8,FALSE),2)</f>
        <v>0</v>
      </c>
      <c r="N48" s="526">
        <f>ROUND('geg ll'!K104*VLOOKUP($F48,categoriePersVSO,8,FALSE),2)</f>
        <v>0</v>
      </c>
      <c r="O48" s="526">
        <f>ROUND('geg ll'!L104*VLOOKUP($F48,categoriePersVSO,8,FALSE),2)</f>
        <v>0</v>
      </c>
      <c r="P48" s="186"/>
      <c r="Q48" s="30"/>
    </row>
    <row r="49" spans="2:17" x14ac:dyDescent="0.2">
      <c r="B49" s="29"/>
      <c r="C49" s="186"/>
      <c r="D49" s="187"/>
      <c r="E49" s="34"/>
      <c r="F49" s="34" t="str">
        <f>IF('geg ll'!F105=1,"categorie 1",IF('geg ll'!F105=2,"categorie 2","categorie 3"))</f>
        <v>categorie 3</v>
      </c>
      <c r="G49" s="70"/>
      <c r="H49" s="34"/>
      <c r="I49" s="526">
        <f>ROUND('geg ll'!G105*VLOOKUP($F49,categoriePersVSO,8,FALSE),2)</f>
        <v>0</v>
      </c>
      <c r="J49" s="526">
        <f>ROUND('geg ll'!G105*VLOOKUP($F49,categoriePersVSO,6,FALSE),2)</f>
        <v>0</v>
      </c>
      <c r="K49" s="526">
        <f>ROUND('geg ll'!H105*VLOOKUP($F49,categoriePersVSO,7,FALSE),2)</f>
        <v>0</v>
      </c>
      <c r="L49" s="526">
        <f>ROUND('geg ll'!I105*VLOOKUP($F49,categoriePersVSO,8,FALSE),2)</f>
        <v>0</v>
      </c>
      <c r="M49" s="526">
        <f>ROUND('geg ll'!J105*VLOOKUP($F49,categoriePersVSO,8,FALSE),2)</f>
        <v>0</v>
      </c>
      <c r="N49" s="526">
        <f>ROUND('geg ll'!K105*VLOOKUP($F49,categoriePersVSO,8,FALSE),2)</f>
        <v>0</v>
      </c>
      <c r="O49" s="526">
        <f>ROUND('geg ll'!L105*VLOOKUP($F49,categoriePersVSO,8,FALSE),2)</f>
        <v>0</v>
      </c>
      <c r="P49" s="186"/>
      <c r="Q49" s="30"/>
    </row>
    <row r="50" spans="2:17" x14ac:dyDescent="0.2">
      <c r="B50" s="29"/>
      <c r="C50" s="186"/>
      <c r="D50" s="566" t="str">
        <f>'geg ll'!D107</f>
        <v>School 3</v>
      </c>
      <c r="E50" s="34"/>
      <c r="F50" s="34" t="str">
        <f>IF('geg ll'!F107=1,"categorie 1",IF('geg ll'!F107=2,"categorie 2","categorie 3"))</f>
        <v>categorie 1</v>
      </c>
      <c r="G50" s="70"/>
      <c r="H50" s="34"/>
      <c r="I50" s="526">
        <f>ROUND('geg ll'!G107*VLOOKUP($F50,categoriePersVSO,8,FALSE),2)</f>
        <v>0</v>
      </c>
      <c r="J50" s="526">
        <f>ROUND('geg ll'!G107*VLOOKUP($F50,categoriePersVSO,6,FALSE),2)</f>
        <v>0</v>
      </c>
      <c r="K50" s="526">
        <f>ROUND('geg ll'!H107*VLOOKUP($F50,categoriePersVSO,7,FALSE),2)</f>
        <v>0</v>
      </c>
      <c r="L50" s="526">
        <f>ROUND('geg ll'!I107*VLOOKUP($F50,categoriePersVSO,8,FALSE),2)</f>
        <v>0</v>
      </c>
      <c r="M50" s="526">
        <f>ROUND('geg ll'!J107*VLOOKUP($F50,categoriePersVSO,8,FALSE),2)</f>
        <v>0</v>
      </c>
      <c r="N50" s="526">
        <f>ROUND('geg ll'!K107*VLOOKUP($F50,categoriePersVSO,8,FALSE),2)</f>
        <v>0</v>
      </c>
      <c r="O50" s="526">
        <f>ROUND('geg ll'!L107*VLOOKUP($F50,categoriePersVSO,8,FALSE),2)</f>
        <v>0</v>
      </c>
      <c r="P50" s="186"/>
      <c r="Q50" s="30"/>
    </row>
    <row r="51" spans="2:17" x14ac:dyDescent="0.2">
      <c r="B51" s="29"/>
      <c r="C51" s="186"/>
      <c r="D51" s="187" t="s">
        <v>15</v>
      </c>
      <c r="E51" s="34"/>
      <c r="F51" s="34" t="str">
        <f>IF('geg ll'!F108=1,"categorie 1",IF('geg ll'!F108=2,"categorie 2","categorie 3"))</f>
        <v>categorie 2</v>
      </c>
      <c r="G51" s="70"/>
      <c r="H51" s="34"/>
      <c r="I51" s="526">
        <f>ROUND('geg ll'!G108*VLOOKUP($F51,categoriePersVSO,8,FALSE),2)</f>
        <v>0</v>
      </c>
      <c r="J51" s="526">
        <f>ROUND('geg ll'!G108*VLOOKUP($F51,categoriePersVSO,6,FALSE),2)</f>
        <v>0</v>
      </c>
      <c r="K51" s="526">
        <f>ROUND('geg ll'!H108*VLOOKUP($F51,categoriePersVSO,7,FALSE),2)</f>
        <v>0</v>
      </c>
      <c r="L51" s="526">
        <f>ROUND('geg ll'!I108*VLOOKUP($F51,categoriePersVSO,8,FALSE),2)</f>
        <v>0</v>
      </c>
      <c r="M51" s="526">
        <f>ROUND('geg ll'!J108*VLOOKUP($F51,categoriePersVSO,8,FALSE),2)</f>
        <v>0</v>
      </c>
      <c r="N51" s="526">
        <f>ROUND('geg ll'!K108*VLOOKUP($F51,categoriePersVSO,8,FALSE),2)</f>
        <v>0</v>
      </c>
      <c r="O51" s="526">
        <f>ROUND('geg ll'!L108*VLOOKUP($F51,categoriePersVSO,8,FALSE),2)</f>
        <v>0</v>
      </c>
      <c r="P51" s="186"/>
      <c r="Q51" s="30"/>
    </row>
    <row r="52" spans="2:17" x14ac:dyDescent="0.2">
      <c r="B52" s="29"/>
      <c r="C52" s="186"/>
      <c r="D52" s="187"/>
      <c r="E52" s="34"/>
      <c r="F52" s="34" t="str">
        <f>IF('geg ll'!F109=1,"categorie 1",IF('geg ll'!F109=2,"categorie 2","categorie 3"))</f>
        <v>categorie 3</v>
      </c>
      <c r="G52" s="70"/>
      <c r="H52" s="34"/>
      <c r="I52" s="526">
        <f>ROUND('geg ll'!G109*VLOOKUP($F52,categoriePersVSO,8,FALSE),2)</f>
        <v>0</v>
      </c>
      <c r="J52" s="526">
        <f>ROUND('geg ll'!G109*VLOOKUP($F52,categoriePersVSO,6,FALSE),2)</f>
        <v>0</v>
      </c>
      <c r="K52" s="526">
        <f>ROUND('geg ll'!H109*VLOOKUP($F52,categoriePersVSO,7,FALSE),2)</f>
        <v>0</v>
      </c>
      <c r="L52" s="526">
        <f>ROUND('geg ll'!I109*VLOOKUP($F52,categoriePersVSO,8,FALSE),2)</f>
        <v>0</v>
      </c>
      <c r="M52" s="526">
        <f>ROUND('geg ll'!J109*VLOOKUP($F52,categoriePersVSO,8,FALSE),2)</f>
        <v>0</v>
      </c>
      <c r="N52" s="526">
        <f>ROUND('geg ll'!K109*VLOOKUP($F52,categoriePersVSO,8,FALSE),2)</f>
        <v>0</v>
      </c>
      <c r="O52" s="526">
        <f>ROUND('geg ll'!L109*VLOOKUP($F52,categoriePersVSO,8,FALSE),2)</f>
        <v>0</v>
      </c>
      <c r="P52" s="186"/>
      <c r="Q52" s="30"/>
    </row>
    <row r="53" spans="2:17" x14ac:dyDescent="0.2">
      <c r="B53" s="21"/>
      <c r="C53" s="34"/>
      <c r="D53" s="566" t="str">
        <f>'geg ll'!D111</f>
        <v>School 4</v>
      </c>
      <c r="E53" s="34"/>
      <c r="F53" s="34" t="str">
        <f>IF('geg ll'!F111=1,"categorie 1",IF('geg ll'!F111=2,"categorie 2","categorie 3"))</f>
        <v>categorie 1</v>
      </c>
      <c r="G53" s="70"/>
      <c r="H53" s="34"/>
      <c r="I53" s="526">
        <f>ROUND('geg ll'!G111*VLOOKUP($F53,categoriePersVSO,8,FALSE),2)</f>
        <v>0</v>
      </c>
      <c r="J53" s="526">
        <f>ROUND('geg ll'!G111*VLOOKUP($F53,categoriePersVSO,6,FALSE),2)</f>
        <v>0</v>
      </c>
      <c r="K53" s="526">
        <f>ROUND('geg ll'!H111*VLOOKUP($F53,categoriePersVSO,7,FALSE),2)</f>
        <v>0</v>
      </c>
      <c r="L53" s="526">
        <f>ROUND('geg ll'!I111*VLOOKUP($F53,categoriePersVSO,8,FALSE),2)</f>
        <v>0</v>
      </c>
      <c r="M53" s="526">
        <f>ROUND('geg ll'!J111*VLOOKUP($F53,categoriePersVSO,8,FALSE),2)</f>
        <v>0</v>
      </c>
      <c r="N53" s="526">
        <f>ROUND('geg ll'!K111*VLOOKUP($F53,categoriePersVSO,8,FALSE),2)</f>
        <v>0</v>
      </c>
      <c r="O53" s="526">
        <f>ROUND('geg ll'!L111*VLOOKUP($F53,categoriePersVSO,8,FALSE),2)</f>
        <v>0</v>
      </c>
      <c r="P53" s="34"/>
      <c r="Q53" s="25"/>
    </row>
    <row r="54" spans="2:17" x14ac:dyDescent="0.2">
      <c r="B54" s="21"/>
      <c r="C54" s="34"/>
      <c r="D54" s="187" t="s">
        <v>15</v>
      </c>
      <c r="E54" s="34"/>
      <c r="F54" s="34" t="str">
        <f>IF('geg ll'!F112=1,"categorie 1",IF('geg ll'!F112=2,"categorie 2","categorie 3"))</f>
        <v>categorie 2</v>
      </c>
      <c r="G54" s="70"/>
      <c r="H54" s="34"/>
      <c r="I54" s="526">
        <f>ROUND('geg ll'!G112*VLOOKUP($F54,categoriePersVSO,8,FALSE),2)</f>
        <v>0</v>
      </c>
      <c r="J54" s="526">
        <f>ROUND('geg ll'!G112*VLOOKUP($F54,categoriePersVSO,6,FALSE),2)</f>
        <v>0</v>
      </c>
      <c r="K54" s="526">
        <f>ROUND('geg ll'!H112*VLOOKUP($F54,categoriePersVSO,7,FALSE),2)</f>
        <v>0</v>
      </c>
      <c r="L54" s="526">
        <f>ROUND('geg ll'!I112*VLOOKUP($F54,categoriePersVSO,8,FALSE),2)</f>
        <v>0</v>
      </c>
      <c r="M54" s="526">
        <f>ROUND('geg ll'!J112*VLOOKUP($F54,categoriePersVSO,8,FALSE),2)</f>
        <v>0</v>
      </c>
      <c r="N54" s="526">
        <f>ROUND('geg ll'!K112*VLOOKUP($F54,categoriePersVSO,8,FALSE),2)</f>
        <v>0</v>
      </c>
      <c r="O54" s="526">
        <f>ROUND('geg ll'!L112*VLOOKUP($F54,categoriePersVSO,8,FALSE),2)</f>
        <v>0</v>
      </c>
      <c r="P54" s="34"/>
      <c r="Q54" s="25"/>
    </row>
    <row r="55" spans="2:17" x14ac:dyDescent="0.2">
      <c r="B55" s="21"/>
      <c r="C55" s="34"/>
      <c r="D55" s="187"/>
      <c r="E55" s="34"/>
      <c r="F55" s="34" t="str">
        <f>IF('geg ll'!F113=1,"categorie 1",IF('geg ll'!F113=2,"categorie 2","categorie 3"))</f>
        <v>categorie 3</v>
      </c>
      <c r="G55" s="70"/>
      <c r="H55" s="34"/>
      <c r="I55" s="526">
        <f>ROUND('geg ll'!G113*VLOOKUP($F55,categoriePersVSO,8,FALSE),2)</f>
        <v>0</v>
      </c>
      <c r="J55" s="526">
        <f>ROUND('geg ll'!G113*VLOOKUP($F55,categoriePersVSO,6,FALSE),2)</f>
        <v>0</v>
      </c>
      <c r="K55" s="526">
        <f>ROUND('geg ll'!H113*VLOOKUP($F55,categoriePersVSO,7,FALSE),2)</f>
        <v>0</v>
      </c>
      <c r="L55" s="526">
        <f>ROUND('geg ll'!I113*VLOOKUP($F55,categoriePersVSO,8,FALSE),2)</f>
        <v>0</v>
      </c>
      <c r="M55" s="526">
        <f>ROUND('geg ll'!J113*VLOOKUP($F55,categoriePersVSO,8,FALSE),2)</f>
        <v>0</v>
      </c>
      <c r="N55" s="526">
        <f>ROUND('geg ll'!K113*VLOOKUP($F55,categoriePersVSO,8,FALSE),2)</f>
        <v>0</v>
      </c>
      <c r="O55" s="526">
        <f>ROUND('geg ll'!L113*VLOOKUP($F55,categoriePersVSO,8,FALSE),2)</f>
        <v>0</v>
      </c>
      <c r="P55" s="34"/>
      <c r="Q55" s="25"/>
    </row>
    <row r="56" spans="2:17" x14ac:dyDescent="0.2">
      <c r="B56" s="21"/>
      <c r="C56" s="34"/>
      <c r="D56" s="566" t="str">
        <f>'geg ll'!D115</f>
        <v>School 5</v>
      </c>
      <c r="E56" s="34"/>
      <c r="F56" s="34" t="str">
        <f>IF('geg ll'!F115=1,"categorie 1",IF('geg ll'!F115=2,"categorie 2","categorie 3"))</f>
        <v>categorie 1</v>
      </c>
      <c r="G56" s="70"/>
      <c r="H56" s="34"/>
      <c r="I56" s="526">
        <f>ROUND('geg ll'!G115*VLOOKUP($F55,categoriePersVSO,8,FALSE),2)</f>
        <v>0</v>
      </c>
      <c r="J56" s="526">
        <f>ROUND('geg ll'!G115*VLOOKUP($F55,categoriePersVSO,6,FALSE),2)</f>
        <v>0</v>
      </c>
      <c r="K56" s="526">
        <f>ROUND('geg ll'!H115*VLOOKUP($F55,categoriePersVSO,7,FALSE),2)</f>
        <v>0</v>
      </c>
      <c r="L56" s="526">
        <f>ROUND('geg ll'!I115*VLOOKUP($F55,categoriePersVSO,8,FALSE),2)</f>
        <v>0</v>
      </c>
      <c r="M56" s="526">
        <f>ROUND('geg ll'!J115*VLOOKUP($F55,categoriePersVSO,8,FALSE),2)</f>
        <v>0</v>
      </c>
      <c r="N56" s="526">
        <f>ROUND('geg ll'!K115*VLOOKUP($F55,categoriePersVSO,8,FALSE),2)</f>
        <v>0</v>
      </c>
      <c r="O56" s="526">
        <f>ROUND('geg ll'!L115*VLOOKUP($F55,categoriePersVSO,8,FALSE),2)</f>
        <v>0</v>
      </c>
      <c r="P56" s="34"/>
      <c r="Q56" s="25"/>
    </row>
    <row r="57" spans="2:17" x14ac:dyDescent="0.2">
      <c r="B57" s="21"/>
      <c r="C57" s="34"/>
      <c r="D57" s="187" t="s">
        <v>15</v>
      </c>
      <c r="E57" s="34"/>
      <c r="F57" s="34" t="str">
        <f>IF('geg ll'!F116=1,"categorie 1",IF('geg ll'!F116=2,"categorie 2","categorie 3"))</f>
        <v>categorie 2</v>
      </c>
      <c r="G57" s="70"/>
      <c r="H57" s="34"/>
      <c r="I57" s="526">
        <f>ROUND('geg ll'!G116*VLOOKUP($F57,categoriePersVSO,8,FALSE),2)</f>
        <v>0</v>
      </c>
      <c r="J57" s="526">
        <f>ROUND('geg ll'!G116*VLOOKUP($F57,categoriePersVSO,6,FALSE),2)</f>
        <v>0</v>
      </c>
      <c r="K57" s="526">
        <f>ROUND('geg ll'!H116*VLOOKUP($F57,categoriePersVSO,7,FALSE),2)</f>
        <v>0</v>
      </c>
      <c r="L57" s="526">
        <f>ROUND('geg ll'!I116*VLOOKUP($F57,categoriePersVSO,8,FALSE),2)</f>
        <v>0</v>
      </c>
      <c r="M57" s="526">
        <f>ROUND('geg ll'!J116*VLOOKUP($F57,categoriePersVSO,8,FALSE),2)</f>
        <v>0</v>
      </c>
      <c r="N57" s="526">
        <f>ROUND('geg ll'!K116*VLOOKUP($F57,categoriePersVSO,8,FALSE),2)</f>
        <v>0</v>
      </c>
      <c r="O57" s="526">
        <f>ROUND('geg ll'!L116*VLOOKUP($F57,categoriePersVSO,8,FALSE),2)</f>
        <v>0</v>
      </c>
      <c r="P57" s="34"/>
      <c r="Q57" s="25"/>
    </row>
    <row r="58" spans="2:17" x14ac:dyDescent="0.2">
      <c r="B58" s="21"/>
      <c r="C58" s="34"/>
      <c r="D58" s="187"/>
      <c r="E58" s="34"/>
      <c r="F58" s="34" t="str">
        <f>IF('geg ll'!F117=1,"categorie 1",IF('geg ll'!F117=2,"categorie 2","categorie 3"))</f>
        <v>categorie 3</v>
      </c>
      <c r="G58" s="70"/>
      <c r="H58" s="34"/>
      <c r="I58" s="526">
        <f>ROUND('geg ll'!G117*VLOOKUP($F58,categoriePersVSO,8,FALSE),2)</f>
        <v>0</v>
      </c>
      <c r="J58" s="526">
        <f>ROUND('geg ll'!G117*VLOOKUP($F58,categoriePersVSO,6,FALSE),2)</f>
        <v>0</v>
      </c>
      <c r="K58" s="526">
        <f>ROUND('geg ll'!H117*VLOOKUP($F58,categoriePersVSO,7,FALSE),2)</f>
        <v>0</v>
      </c>
      <c r="L58" s="526">
        <f>ROUND('geg ll'!I117*VLOOKUP($F58,categoriePersVSO,8,FALSE),2)</f>
        <v>0</v>
      </c>
      <c r="M58" s="526">
        <f>ROUND('geg ll'!J117*VLOOKUP($F58,categoriePersVSO,8,FALSE),2)</f>
        <v>0</v>
      </c>
      <c r="N58" s="526">
        <f>ROUND('geg ll'!K117*VLOOKUP($F58,categoriePersVSO,8,FALSE),2)</f>
        <v>0</v>
      </c>
      <c r="O58" s="526">
        <f>ROUND('geg ll'!L117*VLOOKUP($F58,categoriePersVSO,8,FALSE),2)</f>
        <v>0</v>
      </c>
      <c r="P58" s="34"/>
      <c r="Q58" s="25"/>
    </row>
    <row r="59" spans="2:17" x14ac:dyDescent="0.2">
      <c r="B59" s="21"/>
      <c r="C59" s="34"/>
      <c r="D59" s="566" t="str">
        <f>'geg ll'!D119</f>
        <v>School 6</v>
      </c>
      <c r="E59" s="34"/>
      <c r="F59" s="34" t="str">
        <f>IF('geg ll'!F119=1,"categorie 1",IF('geg ll'!F119=2,"categorie 2","categorie 3"))</f>
        <v>categorie 1</v>
      </c>
      <c r="G59" s="70"/>
      <c r="H59" s="34"/>
      <c r="I59" s="526">
        <f>ROUND('geg ll'!G119*VLOOKUP($F59,categoriePersVSO,8,FALSE),2)</f>
        <v>0</v>
      </c>
      <c r="J59" s="526">
        <f>ROUND('geg ll'!G119*VLOOKUP($F59,categoriePersVSO,6,FALSE),2)</f>
        <v>0</v>
      </c>
      <c r="K59" s="526">
        <f>ROUND('geg ll'!H119*VLOOKUP($F59,categoriePersVSO,7,FALSE),2)</f>
        <v>0</v>
      </c>
      <c r="L59" s="526">
        <f>ROUND('geg ll'!I119*VLOOKUP($F59,categoriePersVSO,8,FALSE),2)</f>
        <v>0</v>
      </c>
      <c r="M59" s="526">
        <f>ROUND('geg ll'!J119*VLOOKUP($F59,categoriePersVSO,8,FALSE),2)</f>
        <v>0</v>
      </c>
      <c r="N59" s="526">
        <f>ROUND('geg ll'!K119*VLOOKUP($F59,categoriePersVSO,8,FALSE),2)</f>
        <v>0</v>
      </c>
      <c r="O59" s="526">
        <f>ROUND('geg ll'!L119*VLOOKUP($F59,categoriePersVSO,8,FALSE),2)</f>
        <v>0</v>
      </c>
      <c r="P59" s="34"/>
      <c r="Q59" s="25"/>
    </row>
    <row r="60" spans="2:17" x14ac:dyDescent="0.2">
      <c r="B60" s="21"/>
      <c r="C60" s="34"/>
      <c r="D60" s="187" t="s">
        <v>15</v>
      </c>
      <c r="E60" s="34"/>
      <c r="F60" s="34" t="str">
        <f>IF('geg ll'!F120=1,"categorie 1",IF('geg ll'!F120=2,"categorie 2","categorie 3"))</f>
        <v>categorie 2</v>
      </c>
      <c r="G60" s="70"/>
      <c r="H60" s="34"/>
      <c r="I60" s="526">
        <f>ROUND('geg ll'!G120*VLOOKUP($F60,categoriePersVSO,8,FALSE),2)</f>
        <v>0</v>
      </c>
      <c r="J60" s="526">
        <f>ROUND('geg ll'!G120*VLOOKUP($F60,categoriePersVSO,6,FALSE),2)</f>
        <v>0</v>
      </c>
      <c r="K60" s="526">
        <f>ROUND('geg ll'!H120*VLOOKUP($F60,categoriePersVSO,7,FALSE),2)</f>
        <v>0</v>
      </c>
      <c r="L60" s="526">
        <f>ROUND('geg ll'!I120*VLOOKUP($F60,categoriePersVSO,8,FALSE),2)</f>
        <v>0</v>
      </c>
      <c r="M60" s="526">
        <f>ROUND('geg ll'!J120*VLOOKUP($F60,categoriePersVSO,8,FALSE),2)</f>
        <v>0</v>
      </c>
      <c r="N60" s="526">
        <f>ROUND('geg ll'!K120*VLOOKUP($F60,categoriePersVSO,8,FALSE),2)</f>
        <v>0</v>
      </c>
      <c r="O60" s="526">
        <f>ROUND('geg ll'!L120*VLOOKUP($F60,categoriePersVSO,8,FALSE),2)</f>
        <v>0</v>
      </c>
      <c r="P60" s="34"/>
      <c r="Q60" s="25"/>
    </row>
    <row r="61" spans="2:17" x14ac:dyDescent="0.2">
      <c r="B61" s="21"/>
      <c r="C61" s="34"/>
      <c r="D61" s="187"/>
      <c r="E61" s="34"/>
      <c r="F61" s="34" t="str">
        <f>IF('geg ll'!F121=1,"categorie 1",IF('geg ll'!F121=2,"categorie 2","categorie 3"))</f>
        <v>categorie 3</v>
      </c>
      <c r="G61" s="70"/>
      <c r="H61" s="34"/>
      <c r="I61" s="526">
        <f>ROUND('geg ll'!G121*VLOOKUP($F61,categoriePersVSO,8,FALSE),2)</f>
        <v>0</v>
      </c>
      <c r="J61" s="526">
        <f>ROUND('geg ll'!G121*VLOOKUP($F61,categoriePersVSO,6,FALSE),2)</f>
        <v>0</v>
      </c>
      <c r="K61" s="526">
        <f>ROUND('geg ll'!H121*VLOOKUP($F61,categoriePersVSO,7,FALSE),2)</f>
        <v>0</v>
      </c>
      <c r="L61" s="526">
        <f>ROUND('geg ll'!I121*VLOOKUP($F61,categoriePersVSO,8,FALSE),2)</f>
        <v>0</v>
      </c>
      <c r="M61" s="526">
        <f>ROUND('geg ll'!J121*VLOOKUP($F61,categoriePersVSO,8,FALSE),2)</f>
        <v>0</v>
      </c>
      <c r="N61" s="526">
        <f>ROUND('geg ll'!K121*VLOOKUP($F61,categoriePersVSO,8,FALSE),2)</f>
        <v>0</v>
      </c>
      <c r="O61" s="526">
        <f>ROUND('geg ll'!L121*VLOOKUP($F61,categoriePersVSO,8,FALSE),2)</f>
        <v>0</v>
      </c>
      <c r="P61" s="34"/>
      <c r="Q61" s="25"/>
    </row>
    <row r="62" spans="2:17" x14ac:dyDescent="0.2">
      <c r="B62" s="21"/>
      <c r="C62" s="34"/>
      <c r="D62" s="566" t="str">
        <f>'geg ll'!D123</f>
        <v>School 7</v>
      </c>
      <c r="E62" s="34"/>
      <c r="F62" s="34" t="str">
        <f>IF('geg ll'!F123=1,"categorie 1",IF('geg ll'!F123=2,"categorie 2","categorie 3"))</f>
        <v>categorie 1</v>
      </c>
      <c r="G62" s="70"/>
      <c r="H62" s="34"/>
      <c r="I62" s="526">
        <f>ROUND('geg ll'!G123*VLOOKUP($F62,categoriePersVSO,8,FALSE),2)</f>
        <v>0</v>
      </c>
      <c r="J62" s="526">
        <f>ROUND('geg ll'!G123*VLOOKUP($F62,categoriePersVSO,6,FALSE),2)</f>
        <v>0</v>
      </c>
      <c r="K62" s="526">
        <f>ROUND('geg ll'!H123*VLOOKUP($F62,categoriePersVSO,7,FALSE),2)</f>
        <v>0</v>
      </c>
      <c r="L62" s="526">
        <f>ROUND('geg ll'!I123*VLOOKUP($F62,categoriePersVSO,8,FALSE),2)</f>
        <v>0</v>
      </c>
      <c r="M62" s="526">
        <f>ROUND('geg ll'!J123*VLOOKUP($F62,categoriePersVSO,8,FALSE),2)</f>
        <v>0</v>
      </c>
      <c r="N62" s="526">
        <f>ROUND('geg ll'!K123*VLOOKUP($F62,categoriePersVSO,8,FALSE),2)</f>
        <v>0</v>
      </c>
      <c r="O62" s="526">
        <f>ROUND('geg ll'!L123*VLOOKUP($F62,categoriePersVSO,8,FALSE),2)</f>
        <v>0</v>
      </c>
      <c r="P62" s="34"/>
      <c r="Q62" s="25"/>
    </row>
    <row r="63" spans="2:17" x14ac:dyDescent="0.2">
      <c r="B63" s="21"/>
      <c r="C63" s="34"/>
      <c r="D63" s="187" t="s">
        <v>15</v>
      </c>
      <c r="E63" s="34"/>
      <c r="F63" s="34" t="str">
        <f>IF('geg ll'!F124=1,"categorie 1",IF('geg ll'!F124=2,"categorie 2","categorie 3"))</f>
        <v>categorie 2</v>
      </c>
      <c r="G63" s="70"/>
      <c r="H63" s="34"/>
      <c r="I63" s="526">
        <f>ROUND('geg ll'!G124*VLOOKUP($F63,categoriePersVSO,8,FALSE),2)</f>
        <v>0</v>
      </c>
      <c r="J63" s="526">
        <f>ROUND('geg ll'!G124*VLOOKUP($F63,categoriePersVSO,6,FALSE),2)</f>
        <v>0</v>
      </c>
      <c r="K63" s="526">
        <f>ROUND('geg ll'!H124*VLOOKUP($F63,categoriePersVSO,7,FALSE),2)</f>
        <v>0</v>
      </c>
      <c r="L63" s="526">
        <f>ROUND('geg ll'!I124*VLOOKUP($F63,categoriePersVSO,8,FALSE),2)</f>
        <v>0</v>
      </c>
      <c r="M63" s="526">
        <f>ROUND('geg ll'!J124*VLOOKUP($F63,categoriePersVSO,8,FALSE),2)</f>
        <v>0</v>
      </c>
      <c r="N63" s="526">
        <f>ROUND('geg ll'!K124*VLOOKUP($F63,categoriePersVSO,8,FALSE),2)</f>
        <v>0</v>
      </c>
      <c r="O63" s="526">
        <f>ROUND('geg ll'!L124*VLOOKUP($F63,categoriePersVSO,8,FALSE),2)</f>
        <v>0</v>
      </c>
      <c r="P63" s="34"/>
      <c r="Q63" s="25"/>
    </row>
    <row r="64" spans="2:17" x14ac:dyDescent="0.2">
      <c r="B64" s="21"/>
      <c r="C64" s="34"/>
      <c r="D64" s="187"/>
      <c r="E64" s="34"/>
      <c r="F64" s="34" t="str">
        <f>IF('geg ll'!F125=1,"categorie 1",IF('geg ll'!F125=2,"categorie 2","categorie 3"))</f>
        <v>categorie 3</v>
      </c>
      <c r="G64" s="70"/>
      <c r="H64" s="34"/>
      <c r="I64" s="526">
        <f>ROUND('geg ll'!G125*VLOOKUP($F64,categoriePersVSO,8,FALSE),2)</f>
        <v>0</v>
      </c>
      <c r="J64" s="526">
        <f>ROUND('geg ll'!G125*VLOOKUP($F64,categoriePersVSO,6,FALSE),2)</f>
        <v>0</v>
      </c>
      <c r="K64" s="526">
        <f>ROUND('geg ll'!H125*VLOOKUP($F64,categoriePersVSO,7,FALSE),2)</f>
        <v>0</v>
      </c>
      <c r="L64" s="526">
        <f>ROUND('geg ll'!I125*VLOOKUP($F64,categoriePersVSO,8,FALSE),2)</f>
        <v>0</v>
      </c>
      <c r="M64" s="526">
        <f>ROUND('geg ll'!J125*VLOOKUP($F64,categoriePersVSO,8,FALSE),2)</f>
        <v>0</v>
      </c>
      <c r="N64" s="526">
        <f>ROUND('geg ll'!K125*VLOOKUP($F64,categoriePersVSO,8,FALSE),2)</f>
        <v>0</v>
      </c>
      <c r="O64" s="526">
        <f>ROUND('geg ll'!L125*VLOOKUP($F64,categoriePersVSO,8,FALSE),2)</f>
        <v>0</v>
      </c>
      <c r="P64" s="34"/>
      <c r="Q64" s="25"/>
    </row>
    <row r="65" spans="2:17" x14ac:dyDescent="0.2">
      <c r="B65" s="21"/>
      <c r="C65" s="34"/>
      <c r="D65" s="566" t="str">
        <f>'geg ll'!D127</f>
        <v>School 8</v>
      </c>
      <c r="E65" s="34"/>
      <c r="F65" s="34" t="str">
        <f>IF('geg ll'!F127=1,"categorie 1",IF('geg ll'!F127=2,"categorie 2","categorie 3"))</f>
        <v>categorie 1</v>
      </c>
      <c r="G65" s="70"/>
      <c r="H65" s="34"/>
      <c r="I65" s="526">
        <f>ROUND('geg ll'!G127*VLOOKUP($F65,categoriePersVSO,8,FALSE),2)</f>
        <v>0</v>
      </c>
      <c r="J65" s="526">
        <f>ROUND('geg ll'!G127*VLOOKUP($F65,categoriePersVSO,6,FALSE),2)</f>
        <v>0</v>
      </c>
      <c r="K65" s="526">
        <f>ROUND('geg ll'!H127*VLOOKUP($F65,categoriePersVSO,7,FALSE),2)</f>
        <v>0</v>
      </c>
      <c r="L65" s="526">
        <f>ROUND('geg ll'!I127*VLOOKUP($F65,categoriePersVSO,8,FALSE),2)</f>
        <v>0</v>
      </c>
      <c r="M65" s="526">
        <f>ROUND('geg ll'!J127*VLOOKUP($F65,categoriePersVSO,8,FALSE),2)</f>
        <v>0</v>
      </c>
      <c r="N65" s="526">
        <f>ROUND('geg ll'!K127*VLOOKUP($F65,categoriePersVSO,8,FALSE),2)</f>
        <v>0</v>
      </c>
      <c r="O65" s="526">
        <f>ROUND('geg ll'!L127*VLOOKUP($F65,categoriePersVSO,8,FALSE),2)</f>
        <v>0</v>
      </c>
      <c r="P65" s="34"/>
      <c r="Q65" s="25"/>
    </row>
    <row r="66" spans="2:17" x14ac:dyDescent="0.2">
      <c r="B66" s="21"/>
      <c r="C66" s="34"/>
      <c r="D66" s="187" t="s">
        <v>15</v>
      </c>
      <c r="E66" s="34"/>
      <c r="F66" s="34" t="str">
        <f>IF('geg ll'!F128=1,"categorie 1",IF('geg ll'!F128=2,"categorie 2","categorie 3"))</f>
        <v>categorie 2</v>
      </c>
      <c r="G66" s="70"/>
      <c r="H66" s="34"/>
      <c r="I66" s="526">
        <f>ROUND('geg ll'!G128*VLOOKUP($F65,categoriePersVSO,8,FALSE),2)</f>
        <v>0</v>
      </c>
      <c r="J66" s="526">
        <f>ROUND('geg ll'!G128*VLOOKUP($F65,categoriePersVSO,6,FALSE),2)</f>
        <v>0</v>
      </c>
      <c r="K66" s="526">
        <f>ROUND('geg ll'!H128*VLOOKUP($F65,categoriePersVSO,7,FALSE),2)</f>
        <v>0</v>
      </c>
      <c r="L66" s="526">
        <f>ROUND('geg ll'!I128*VLOOKUP($F65,categoriePersVSO,8,FALSE),2)</f>
        <v>0</v>
      </c>
      <c r="M66" s="526">
        <f>ROUND('geg ll'!J128*VLOOKUP($F65,categoriePersVSO,8,FALSE),2)</f>
        <v>0</v>
      </c>
      <c r="N66" s="526">
        <f>ROUND('geg ll'!K128*VLOOKUP($F65,categoriePersVSO,8,FALSE),2)</f>
        <v>0</v>
      </c>
      <c r="O66" s="526">
        <f>ROUND('geg ll'!L128*VLOOKUP($F65,categoriePersVSO,8,FALSE),2)</f>
        <v>0</v>
      </c>
      <c r="P66" s="34"/>
      <c r="Q66" s="25"/>
    </row>
    <row r="67" spans="2:17" x14ac:dyDescent="0.2">
      <c r="B67" s="21"/>
      <c r="C67" s="34"/>
      <c r="D67" s="187"/>
      <c r="E67" s="34"/>
      <c r="F67" s="34" t="str">
        <f>IF('geg ll'!F129=1,"categorie 1",IF('geg ll'!F129=2,"categorie 2","categorie 3"))</f>
        <v>categorie 3</v>
      </c>
      <c r="G67" s="70"/>
      <c r="H67" s="34"/>
      <c r="I67" s="526">
        <f>ROUND('geg ll'!G129*VLOOKUP($F67,categoriePersVSO,8,FALSE),2)</f>
        <v>0</v>
      </c>
      <c r="J67" s="526">
        <f>ROUND('geg ll'!G129*VLOOKUP($F67,categoriePersVSO,6,FALSE),2)</f>
        <v>0</v>
      </c>
      <c r="K67" s="526">
        <f>ROUND('geg ll'!H129*VLOOKUP($F67,categoriePersVSO,7,FALSE),2)</f>
        <v>0</v>
      </c>
      <c r="L67" s="526">
        <f>ROUND('geg ll'!I129*VLOOKUP($F67,categoriePersVSO,8,FALSE),2)</f>
        <v>0</v>
      </c>
      <c r="M67" s="526">
        <f>ROUND('geg ll'!J129*VLOOKUP($F67,categoriePersVSO,8,FALSE),2)</f>
        <v>0</v>
      </c>
      <c r="N67" s="526">
        <f>ROUND('geg ll'!K129*VLOOKUP($F67,categoriePersVSO,8,FALSE),2)</f>
        <v>0</v>
      </c>
      <c r="O67" s="526">
        <f>ROUND('geg ll'!L129*VLOOKUP($F67,categoriePersVSO,8,FALSE),2)</f>
        <v>0</v>
      </c>
      <c r="P67" s="34"/>
      <c r="Q67" s="25"/>
    </row>
    <row r="68" spans="2:17" x14ac:dyDescent="0.2">
      <c r="B68" s="21"/>
      <c r="C68" s="34"/>
      <c r="D68" s="566" t="str">
        <f>'geg ll'!D131</f>
        <v>School 9</v>
      </c>
      <c r="E68" s="34"/>
      <c r="F68" s="34" t="str">
        <f>IF('geg ll'!F131=1,"categorie 1",IF('geg ll'!F131=2,"categorie 2","categorie 3"))</f>
        <v>categorie 1</v>
      </c>
      <c r="G68" s="70"/>
      <c r="H68" s="34"/>
      <c r="I68" s="526">
        <f>ROUND('geg ll'!G131*VLOOKUP($F68,categoriePersVSO,8,FALSE),2)</f>
        <v>0</v>
      </c>
      <c r="J68" s="526">
        <f>ROUND('geg ll'!G131*VLOOKUP($F68,categoriePersVSO,6,FALSE),2)</f>
        <v>0</v>
      </c>
      <c r="K68" s="526">
        <f>ROUND('geg ll'!H131*VLOOKUP($F68,categoriePersVSO,7,FALSE),2)</f>
        <v>0</v>
      </c>
      <c r="L68" s="526">
        <f>ROUND('geg ll'!I131*VLOOKUP($F68,categoriePersVSO,8,FALSE),2)</f>
        <v>0</v>
      </c>
      <c r="M68" s="526">
        <f>ROUND('geg ll'!J131*VLOOKUP($F68,categoriePersVSO,8,FALSE),2)</f>
        <v>0</v>
      </c>
      <c r="N68" s="526">
        <f>ROUND('geg ll'!K131*VLOOKUP($F68,categoriePersVSO,8,FALSE),2)</f>
        <v>0</v>
      </c>
      <c r="O68" s="526">
        <f>ROUND('geg ll'!L131*VLOOKUP($F68,categoriePersVSO,8,FALSE),2)</f>
        <v>0</v>
      </c>
      <c r="P68" s="34"/>
      <c r="Q68" s="25"/>
    </row>
    <row r="69" spans="2:17" x14ac:dyDescent="0.2">
      <c r="B69" s="21"/>
      <c r="C69" s="34"/>
      <c r="D69" s="187" t="s">
        <v>15</v>
      </c>
      <c r="E69" s="34"/>
      <c r="F69" s="34" t="str">
        <f>IF('geg ll'!F132=1,"categorie 1",IF('geg ll'!F132=2,"categorie 2","categorie 3"))</f>
        <v>categorie 2</v>
      </c>
      <c r="G69" s="70"/>
      <c r="H69" s="34"/>
      <c r="I69" s="526">
        <f>ROUND('geg ll'!G132*VLOOKUP($F69,categoriePersVSO,8,FALSE),2)</f>
        <v>0</v>
      </c>
      <c r="J69" s="526">
        <f>ROUND('geg ll'!G132*VLOOKUP($F69,categoriePersVSO,6,FALSE),2)</f>
        <v>0</v>
      </c>
      <c r="K69" s="526">
        <f>ROUND('geg ll'!H132*VLOOKUP($F69,categoriePersVSO,7,FALSE),2)</f>
        <v>0</v>
      </c>
      <c r="L69" s="526">
        <f>ROUND('geg ll'!I132*VLOOKUP($F69,categoriePersVSO,8,FALSE),2)</f>
        <v>0</v>
      </c>
      <c r="M69" s="526">
        <f>ROUND('geg ll'!J132*VLOOKUP($F69,categoriePersVSO,8,FALSE),2)</f>
        <v>0</v>
      </c>
      <c r="N69" s="526">
        <f>ROUND('geg ll'!K132*VLOOKUP($F69,categoriePersVSO,8,FALSE),2)</f>
        <v>0</v>
      </c>
      <c r="O69" s="526">
        <f>ROUND('geg ll'!L132*VLOOKUP($F69,categoriePersVSO,8,FALSE),2)</f>
        <v>0</v>
      </c>
      <c r="P69" s="34"/>
      <c r="Q69" s="25"/>
    </row>
    <row r="70" spans="2:17" x14ac:dyDescent="0.2">
      <c r="B70" s="21"/>
      <c r="C70" s="34"/>
      <c r="D70" s="187"/>
      <c r="E70" s="34"/>
      <c r="F70" s="34" t="str">
        <f>IF('geg ll'!F133=1,"categorie 1",IF('geg ll'!F133=2,"categorie 2","categorie 3"))</f>
        <v>categorie 3</v>
      </c>
      <c r="G70" s="70"/>
      <c r="H70" s="34"/>
      <c r="I70" s="526">
        <f>ROUND('geg ll'!G133*VLOOKUP($F70,categoriePersVSO,8,FALSE),2)</f>
        <v>0</v>
      </c>
      <c r="J70" s="526">
        <f>ROUND('geg ll'!G133*VLOOKUP($F70,categoriePersVSO,6,FALSE),2)</f>
        <v>0</v>
      </c>
      <c r="K70" s="526">
        <f>ROUND('geg ll'!H133*VLOOKUP($F70,categoriePersVSO,7,FALSE),2)</f>
        <v>0</v>
      </c>
      <c r="L70" s="526">
        <f>ROUND('geg ll'!I133*VLOOKUP($F70,categoriePersVSO,8,FALSE),2)</f>
        <v>0</v>
      </c>
      <c r="M70" s="526">
        <f>ROUND('geg ll'!J133*VLOOKUP($F70,categoriePersVSO,8,FALSE),2)</f>
        <v>0</v>
      </c>
      <c r="N70" s="526">
        <f>ROUND('geg ll'!K133*VLOOKUP($F70,categoriePersVSO,8,FALSE),2)</f>
        <v>0</v>
      </c>
      <c r="O70" s="526">
        <f>ROUND('geg ll'!L133*VLOOKUP($F70,categoriePersVSO,8,FALSE),2)</f>
        <v>0</v>
      </c>
      <c r="P70" s="34"/>
      <c r="Q70" s="25"/>
    </row>
    <row r="71" spans="2:17" x14ac:dyDescent="0.2">
      <c r="B71" s="21"/>
      <c r="C71" s="34"/>
      <c r="D71" s="566" t="str">
        <f>'geg ll'!D135</f>
        <v>School 10</v>
      </c>
      <c r="E71" s="34"/>
      <c r="F71" s="34" t="str">
        <f>IF('geg ll'!F135=1,"categorie 1",IF('geg ll'!F135=2,"categorie 2","categorie 3"))</f>
        <v>categorie 1</v>
      </c>
      <c r="G71" s="70"/>
      <c r="H71" s="34"/>
      <c r="I71" s="526">
        <f>ROUND('geg ll'!G135*VLOOKUP($F71,categoriePersVSO,8,FALSE),2)</f>
        <v>0</v>
      </c>
      <c r="J71" s="526">
        <f>ROUND('geg ll'!G135*VLOOKUP($F71,categoriePersVSO,6,FALSE),2)</f>
        <v>0</v>
      </c>
      <c r="K71" s="526">
        <f>ROUND('geg ll'!H135*VLOOKUP($F71,categoriePersVSO,7,FALSE),2)</f>
        <v>0</v>
      </c>
      <c r="L71" s="526">
        <f>ROUND('geg ll'!I135*VLOOKUP($F71,categoriePersVSO,8,FALSE),2)</f>
        <v>0</v>
      </c>
      <c r="M71" s="526">
        <f>ROUND('geg ll'!J135*VLOOKUP($F71,categoriePersVSO,8,FALSE),2)</f>
        <v>0</v>
      </c>
      <c r="N71" s="526">
        <f>ROUND('geg ll'!K135*VLOOKUP($F71,categoriePersVSO,8,FALSE),2)</f>
        <v>0</v>
      </c>
      <c r="O71" s="526">
        <f>ROUND('geg ll'!L135*VLOOKUP($F71,categoriePersVSO,8,FALSE),2)</f>
        <v>0</v>
      </c>
      <c r="P71" s="34"/>
      <c r="Q71" s="25"/>
    </row>
    <row r="72" spans="2:17" x14ac:dyDescent="0.2">
      <c r="B72" s="21"/>
      <c r="C72" s="34"/>
      <c r="D72" s="187" t="s">
        <v>15</v>
      </c>
      <c r="E72" s="34"/>
      <c r="F72" s="34" t="str">
        <f>IF('geg ll'!F136=1,"categorie 1",IF('geg ll'!F136=2,"categorie 2","categorie 3"))</f>
        <v>categorie 2</v>
      </c>
      <c r="G72" s="70"/>
      <c r="H72" s="34"/>
      <c r="I72" s="526">
        <f>ROUND('geg ll'!G136*VLOOKUP($F72,categoriePersVSO,8,FALSE),2)</f>
        <v>0</v>
      </c>
      <c r="J72" s="526">
        <f>ROUND('geg ll'!G136*VLOOKUP($F72,categoriePersVSO,6,FALSE),2)</f>
        <v>0</v>
      </c>
      <c r="K72" s="526">
        <f>ROUND('geg ll'!H136*VLOOKUP($F72,categoriePersVSO,7,FALSE),2)</f>
        <v>0</v>
      </c>
      <c r="L72" s="526">
        <f>ROUND('geg ll'!I136*VLOOKUP($F72,categoriePersVSO,8,FALSE),2)</f>
        <v>0</v>
      </c>
      <c r="M72" s="526">
        <f>ROUND('geg ll'!J136*VLOOKUP($F72,categoriePersVSO,8,FALSE),2)</f>
        <v>0</v>
      </c>
      <c r="N72" s="526">
        <f>ROUND('geg ll'!K136*VLOOKUP($F72,categoriePersVSO,8,FALSE),2)</f>
        <v>0</v>
      </c>
      <c r="O72" s="526">
        <f>ROUND('geg ll'!L136*VLOOKUP($F72,categoriePersVSO,8,FALSE),2)</f>
        <v>0</v>
      </c>
      <c r="P72" s="34"/>
      <c r="Q72" s="25"/>
    </row>
    <row r="73" spans="2:17" x14ac:dyDescent="0.2">
      <c r="B73" s="21"/>
      <c r="C73" s="34"/>
      <c r="D73" s="187"/>
      <c r="E73" s="34"/>
      <c r="F73" s="34" t="str">
        <f>IF('geg ll'!F137=1,"categorie 1",IF('geg ll'!F137=2,"categorie 2","categorie 3"))</f>
        <v>categorie 3</v>
      </c>
      <c r="G73" s="70"/>
      <c r="H73" s="34"/>
      <c r="I73" s="526">
        <f>ROUND('geg ll'!G137*VLOOKUP($F73,categoriePersVSO,8,FALSE),2)</f>
        <v>0</v>
      </c>
      <c r="J73" s="526">
        <f>ROUND('geg ll'!G137*VLOOKUP($F73,categoriePersVSO,6,FALSE),2)</f>
        <v>0</v>
      </c>
      <c r="K73" s="526">
        <f>ROUND('geg ll'!H137*VLOOKUP($F73,categoriePersVSO,7,FALSE),2)</f>
        <v>0</v>
      </c>
      <c r="L73" s="526">
        <f>ROUND('geg ll'!I137*VLOOKUP($F73,categoriePersVSO,8,FALSE),2)</f>
        <v>0</v>
      </c>
      <c r="M73" s="526">
        <f>ROUND('geg ll'!J137*VLOOKUP($F73,categoriePersVSO,8,FALSE),2)</f>
        <v>0</v>
      </c>
      <c r="N73" s="526">
        <f>ROUND('geg ll'!K137*VLOOKUP($F73,categoriePersVSO,8,FALSE),2)</f>
        <v>0</v>
      </c>
      <c r="O73" s="526">
        <f>ROUND('geg ll'!L137*VLOOKUP($F73,categoriePersVSO,8,FALSE),2)</f>
        <v>0</v>
      </c>
      <c r="P73" s="34"/>
      <c r="Q73" s="25"/>
    </row>
    <row r="74" spans="2:17" x14ac:dyDescent="0.2">
      <c r="B74" s="21"/>
      <c r="C74" s="34"/>
      <c r="D74" s="566" t="str">
        <f>'geg ll'!D139</f>
        <v>School 11</v>
      </c>
      <c r="E74" s="34"/>
      <c r="F74" s="34" t="str">
        <f>IF('geg ll'!F139=1,"categorie 1",IF('geg ll'!F139=2,"categorie 2","categorie 3"))</f>
        <v>categorie 1</v>
      </c>
      <c r="G74" s="70"/>
      <c r="H74" s="34"/>
      <c r="I74" s="526">
        <f>ROUND('geg ll'!G139*VLOOKUP($F74,categoriePersVSO,8,FALSE),2)</f>
        <v>0</v>
      </c>
      <c r="J74" s="526">
        <f>ROUND('geg ll'!G139*VLOOKUP($F74,categoriePersVSO,6,FALSE),2)</f>
        <v>0</v>
      </c>
      <c r="K74" s="526">
        <f>ROUND('geg ll'!H139*VLOOKUP($F74,categoriePersVSO,7,FALSE),2)</f>
        <v>0</v>
      </c>
      <c r="L74" s="526">
        <f>ROUND('geg ll'!I139*VLOOKUP($F74,categoriePersVSO,8,FALSE),2)</f>
        <v>0</v>
      </c>
      <c r="M74" s="526">
        <f>ROUND('geg ll'!J139*VLOOKUP($F74,categoriePersVSO,8,FALSE),2)</f>
        <v>0</v>
      </c>
      <c r="N74" s="526">
        <f>ROUND('geg ll'!K139*VLOOKUP($F74,categoriePersVSO,8,FALSE),2)</f>
        <v>0</v>
      </c>
      <c r="O74" s="526">
        <f>ROUND('geg ll'!L139*VLOOKUP($F74,categoriePersVSO,8,FALSE),2)</f>
        <v>0</v>
      </c>
      <c r="P74" s="34"/>
      <c r="Q74" s="25"/>
    </row>
    <row r="75" spans="2:17" x14ac:dyDescent="0.2">
      <c r="B75" s="21"/>
      <c r="C75" s="34"/>
      <c r="D75" s="187" t="s">
        <v>15</v>
      </c>
      <c r="E75" s="34"/>
      <c r="F75" s="34" t="str">
        <f>IF('geg ll'!F140=1,"categorie 1",IF('geg ll'!F140=2,"categorie 2","categorie 3"))</f>
        <v>categorie 2</v>
      </c>
      <c r="G75" s="70"/>
      <c r="H75" s="34"/>
      <c r="I75" s="526">
        <f>ROUND('geg ll'!G140*VLOOKUP($F75,categoriePersVSO,8,FALSE),2)</f>
        <v>0</v>
      </c>
      <c r="J75" s="526">
        <f>ROUND('geg ll'!G140*VLOOKUP($F75,categoriePersVSO,6,FALSE),2)</f>
        <v>0</v>
      </c>
      <c r="K75" s="526">
        <f>ROUND('geg ll'!H140*VLOOKUP($F75,categoriePersVSO,7,FALSE),2)</f>
        <v>0</v>
      </c>
      <c r="L75" s="526">
        <f>ROUND('geg ll'!I140*VLOOKUP($F75,categoriePersVSO,8,FALSE),2)</f>
        <v>0</v>
      </c>
      <c r="M75" s="526">
        <f>ROUND('geg ll'!J140*VLOOKUP($F75,categoriePersVSO,8,FALSE),2)</f>
        <v>0</v>
      </c>
      <c r="N75" s="526">
        <f>ROUND('geg ll'!K140*VLOOKUP($F75,categoriePersVSO,8,FALSE),2)</f>
        <v>0</v>
      </c>
      <c r="O75" s="526">
        <f>ROUND('geg ll'!L140*VLOOKUP($F75,categoriePersVSO,8,FALSE),2)</f>
        <v>0</v>
      </c>
      <c r="P75" s="34"/>
      <c r="Q75" s="25"/>
    </row>
    <row r="76" spans="2:17" x14ac:dyDescent="0.2">
      <c r="B76" s="21"/>
      <c r="C76" s="34"/>
      <c r="D76" s="187"/>
      <c r="E76" s="34"/>
      <c r="F76" s="34" t="str">
        <f>IF('geg ll'!F141=1,"categorie 1",IF('geg ll'!F141=2,"categorie 2","categorie 3"))</f>
        <v>categorie 3</v>
      </c>
      <c r="G76" s="70"/>
      <c r="H76" s="34"/>
      <c r="I76" s="526">
        <f>ROUND('geg ll'!G141*VLOOKUP($F75,categoriePersVSO,8,FALSE),2)</f>
        <v>0</v>
      </c>
      <c r="J76" s="526">
        <f>ROUND('geg ll'!G141*VLOOKUP($F75,categoriePersVSO,6,FALSE),2)</f>
        <v>0</v>
      </c>
      <c r="K76" s="526">
        <f>ROUND('geg ll'!H141*VLOOKUP($F75,categoriePersVSO,7,FALSE),2)</f>
        <v>0</v>
      </c>
      <c r="L76" s="526">
        <f>ROUND('geg ll'!I141*VLOOKUP($F75,categoriePersVSO,8,FALSE),2)</f>
        <v>0</v>
      </c>
      <c r="M76" s="526">
        <f>ROUND('geg ll'!J141*VLOOKUP($F75,categoriePersVSO,8,FALSE),2)</f>
        <v>0</v>
      </c>
      <c r="N76" s="526">
        <f>ROUND('geg ll'!K141*VLOOKUP($F75,categoriePersVSO,8,FALSE),2)</f>
        <v>0</v>
      </c>
      <c r="O76" s="526">
        <f>ROUND('geg ll'!L141*VLOOKUP($F75,categoriePersVSO,8,FALSE),2)</f>
        <v>0</v>
      </c>
      <c r="P76" s="34"/>
      <c r="Q76" s="25"/>
    </row>
    <row r="77" spans="2:17" x14ac:dyDescent="0.2">
      <c r="B77" s="21"/>
      <c r="C77" s="34"/>
      <c r="D77" s="566" t="str">
        <f>'geg ll'!D143</f>
        <v>School 12</v>
      </c>
      <c r="E77" s="34"/>
      <c r="F77" s="34" t="str">
        <f>IF('geg ll'!F143=1,"categorie 1",IF('geg ll'!F143=2,"categorie 2","categorie 3"))</f>
        <v>categorie 1</v>
      </c>
      <c r="G77" s="70"/>
      <c r="H77" s="34"/>
      <c r="I77" s="526">
        <f>ROUND('geg ll'!G143*VLOOKUP($F77,categoriePersVSO,8,FALSE),2)</f>
        <v>0</v>
      </c>
      <c r="J77" s="526">
        <f>ROUND('geg ll'!G143*VLOOKUP($F77,categoriePersVSO,6,FALSE),2)</f>
        <v>0</v>
      </c>
      <c r="K77" s="526">
        <f>ROUND('geg ll'!H143*VLOOKUP($F77,categoriePersVSO,7,FALSE),2)</f>
        <v>0</v>
      </c>
      <c r="L77" s="526">
        <f>ROUND('geg ll'!I143*VLOOKUP($F77,categoriePersVSO,8,FALSE),2)</f>
        <v>0</v>
      </c>
      <c r="M77" s="526">
        <f>ROUND('geg ll'!J143*VLOOKUP($F77,categoriePersVSO,8,FALSE),2)</f>
        <v>0</v>
      </c>
      <c r="N77" s="526">
        <f>ROUND('geg ll'!K143*VLOOKUP($F77,categoriePersVSO,8,FALSE),2)</f>
        <v>0</v>
      </c>
      <c r="O77" s="526">
        <f>ROUND('geg ll'!L143*VLOOKUP($F77,categoriePersVSO,8,FALSE),2)</f>
        <v>0</v>
      </c>
      <c r="P77" s="34"/>
      <c r="Q77" s="25"/>
    </row>
    <row r="78" spans="2:17" x14ac:dyDescent="0.2">
      <c r="B78" s="21"/>
      <c r="C78" s="34"/>
      <c r="D78" s="187" t="s">
        <v>15</v>
      </c>
      <c r="E78" s="34"/>
      <c r="F78" s="34" t="str">
        <f>IF('geg ll'!F144=1,"categorie 1",IF('geg ll'!F144=2,"categorie 2","categorie 3"))</f>
        <v>categorie 2</v>
      </c>
      <c r="G78" s="70"/>
      <c r="H78" s="34"/>
      <c r="I78" s="526">
        <f>ROUND('geg ll'!G144*VLOOKUP($F78,categoriePersVSO,8,FALSE),2)</f>
        <v>0</v>
      </c>
      <c r="J78" s="526">
        <f>ROUND('geg ll'!G144*VLOOKUP($F78,categoriePersVSO,6,FALSE),2)</f>
        <v>0</v>
      </c>
      <c r="K78" s="526">
        <f>ROUND('geg ll'!H144*VLOOKUP($F78,categoriePersVSO,7,FALSE),2)</f>
        <v>0</v>
      </c>
      <c r="L78" s="526">
        <f>ROUND('geg ll'!I144*VLOOKUP($F78,categoriePersVSO,8,FALSE),2)</f>
        <v>0</v>
      </c>
      <c r="M78" s="526">
        <f>ROUND('geg ll'!J144*VLOOKUP($F78,categoriePersVSO,8,FALSE),2)</f>
        <v>0</v>
      </c>
      <c r="N78" s="526">
        <f>ROUND('geg ll'!K144*VLOOKUP($F78,categoriePersVSO,8,FALSE),2)</f>
        <v>0</v>
      </c>
      <c r="O78" s="526">
        <f>ROUND('geg ll'!L144*VLOOKUP($F78,categoriePersVSO,8,FALSE),2)</f>
        <v>0</v>
      </c>
      <c r="P78" s="34"/>
      <c r="Q78" s="25"/>
    </row>
    <row r="79" spans="2:17" x14ac:dyDescent="0.2">
      <c r="B79" s="21"/>
      <c r="C79" s="34"/>
      <c r="D79" s="187"/>
      <c r="E79" s="34"/>
      <c r="F79" s="34" t="str">
        <f>IF('geg ll'!F145=1,"categorie 1",IF('geg ll'!F145=2,"categorie 2","categorie 3"))</f>
        <v>categorie 3</v>
      </c>
      <c r="G79" s="70"/>
      <c r="H79" s="34"/>
      <c r="I79" s="526">
        <f>ROUND('geg ll'!G145*VLOOKUP($F79,categoriePersVSO,8,FALSE),2)</f>
        <v>0</v>
      </c>
      <c r="J79" s="526">
        <f>ROUND('geg ll'!G145*VLOOKUP($F79,categoriePersVSO,6,FALSE),2)</f>
        <v>0</v>
      </c>
      <c r="K79" s="526">
        <f>ROUND('geg ll'!H145*VLOOKUP($F79,categoriePersVSO,7,FALSE),2)</f>
        <v>0</v>
      </c>
      <c r="L79" s="526">
        <f>ROUND('geg ll'!I145*VLOOKUP($F79,categoriePersVSO,8,FALSE),2)</f>
        <v>0</v>
      </c>
      <c r="M79" s="526">
        <f>ROUND('geg ll'!J145*VLOOKUP($F79,categoriePersVSO,8,FALSE),2)</f>
        <v>0</v>
      </c>
      <c r="N79" s="526">
        <f>ROUND('geg ll'!K145*VLOOKUP($F79,categoriePersVSO,8,FALSE),2)</f>
        <v>0</v>
      </c>
      <c r="O79" s="526">
        <f>ROUND('geg ll'!L145*VLOOKUP($F79,categoriePersVSO,8,FALSE),2)</f>
        <v>0</v>
      </c>
      <c r="P79" s="34"/>
      <c r="Q79" s="25"/>
    </row>
    <row r="80" spans="2:17" x14ac:dyDescent="0.2">
      <c r="B80" s="21"/>
      <c r="C80" s="34"/>
      <c r="D80" s="566" t="str">
        <f>'geg ll'!D147</f>
        <v>School 13</v>
      </c>
      <c r="E80" s="34"/>
      <c r="F80" s="34" t="str">
        <f>IF('geg ll'!F147=1,"categorie 1",IF('geg ll'!F147=2,"categorie 2","categorie 3"))</f>
        <v>categorie 1</v>
      </c>
      <c r="G80" s="70"/>
      <c r="H80" s="34"/>
      <c r="I80" s="526">
        <f>ROUND('geg ll'!G147*VLOOKUP($F80,categoriePersVSO,8,FALSE),2)</f>
        <v>0</v>
      </c>
      <c r="J80" s="526">
        <f>ROUND('geg ll'!G147*VLOOKUP($F80,categoriePersVSO,6,FALSE),2)</f>
        <v>0</v>
      </c>
      <c r="K80" s="526">
        <f>ROUND('geg ll'!H147*VLOOKUP($F80,categoriePersVSO,7,FALSE),2)</f>
        <v>0</v>
      </c>
      <c r="L80" s="526">
        <f>ROUND('geg ll'!I147*VLOOKUP($F80,categoriePersVSO,8,FALSE),2)</f>
        <v>0</v>
      </c>
      <c r="M80" s="526">
        <f>ROUND('geg ll'!J147*VLOOKUP($F80,categoriePersVSO,8,FALSE),2)</f>
        <v>0</v>
      </c>
      <c r="N80" s="526">
        <f>ROUND('geg ll'!K147*VLOOKUP($F80,categoriePersVSO,8,FALSE),2)</f>
        <v>0</v>
      </c>
      <c r="O80" s="526">
        <f>ROUND('geg ll'!L147*VLOOKUP($F80,categoriePersVSO,8,FALSE),2)</f>
        <v>0</v>
      </c>
      <c r="P80" s="34"/>
      <c r="Q80" s="25"/>
    </row>
    <row r="81" spans="2:32" x14ac:dyDescent="0.2">
      <c r="B81" s="21"/>
      <c r="C81" s="34"/>
      <c r="D81" s="187" t="s">
        <v>15</v>
      </c>
      <c r="E81" s="34"/>
      <c r="F81" s="34" t="str">
        <f>IF('geg ll'!F148=1,"categorie 1",IF('geg ll'!F148=2,"categorie 2","categorie 3"))</f>
        <v>categorie 2</v>
      </c>
      <c r="G81" s="70"/>
      <c r="H81" s="34"/>
      <c r="I81" s="526">
        <f>ROUND('geg ll'!G148*VLOOKUP($F81,categoriePersVSO,8,FALSE),2)</f>
        <v>0</v>
      </c>
      <c r="J81" s="526">
        <f>ROUND('geg ll'!G148*VLOOKUP($F81,categoriePersVSO,6,FALSE),2)</f>
        <v>0</v>
      </c>
      <c r="K81" s="526">
        <f>ROUND('geg ll'!H148*VLOOKUP($F81,categoriePersVSO,7,FALSE),2)</f>
        <v>0</v>
      </c>
      <c r="L81" s="526">
        <f>ROUND('geg ll'!I148*VLOOKUP($F81,categoriePersVSO,8,FALSE),2)</f>
        <v>0</v>
      </c>
      <c r="M81" s="526">
        <f>ROUND('geg ll'!J148*VLOOKUP($F81,categoriePersVSO,8,FALSE),2)</f>
        <v>0</v>
      </c>
      <c r="N81" s="526">
        <f>ROUND('geg ll'!K148*VLOOKUP($F81,categoriePersVSO,8,FALSE),2)</f>
        <v>0</v>
      </c>
      <c r="O81" s="526">
        <f>ROUND('geg ll'!L148*VLOOKUP($F81,categoriePersVSO,8,FALSE),2)</f>
        <v>0</v>
      </c>
      <c r="P81" s="34"/>
      <c r="Q81" s="25"/>
    </row>
    <row r="82" spans="2:32" x14ac:dyDescent="0.2">
      <c r="B82" s="21"/>
      <c r="C82" s="34"/>
      <c r="D82" s="187"/>
      <c r="E82" s="34"/>
      <c r="F82" s="34" t="str">
        <f>IF('geg ll'!F149=1,"categorie 1",IF('geg ll'!F149=2,"categorie 2","categorie 3"))</f>
        <v>categorie 3</v>
      </c>
      <c r="G82" s="70"/>
      <c r="H82" s="34"/>
      <c r="I82" s="526">
        <f>ROUND('geg ll'!G149*VLOOKUP($F82,categoriePersVSO,8,FALSE),2)</f>
        <v>0</v>
      </c>
      <c r="J82" s="526">
        <f>ROUND('geg ll'!G149*VLOOKUP($F82,categoriePersVSO,6,FALSE),2)</f>
        <v>0</v>
      </c>
      <c r="K82" s="526">
        <f>ROUND('geg ll'!H149*VLOOKUP($F82,categoriePersVSO,7,FALSE),2)</f>
        <v>0</v>
      </c>
      <c r="L82" s="526">
        <f>ROUND('geg ll'!I149*VLOOKUP($F82,categoriePersVSO,8,FALSE),2)</f>
        <v>0</v>
      </c>
      <c r="M82" s="526">
        <f>ROUND('geg ll'!J149*VLOOKUP($F82,categoriePersVSO,8,FALSE),2)</f>
        <v>0</v>
      </c>
      <c r="N82" s="526">
        <f>ROUND('geg ll'!K149*VLOOKUP($F82,categoriePersVSO,8,FALSE),2)</f>
        <v>0</v>
      </c>
      <c r="O82" s="526">
        <f>ROUND('geg ll'!L149*VLOOKUP($F82,categoriePersVSO,8,FALSE),2)</f>
        <v>0</v>
      </c>
      <c r="P82" s="34"/>
      <c r="Q82" s="25"/>
    </row>
    <row r="83" spans="2:32" x14ac:dyDescent="0.2">
      <c r="B83" s="21"/>
      <c r="C83" s="34"/>
      <c r="D83" s="566" t="str">
        <f>'geg ll'!D151</f>
        <v>School 14</v>
      </c>
      <c r="E83" s="34"/>
      <c r="F83" s="34" t="str">
        <f>IF('geg ll'!F151=1,"categorie 1",IF('geg ll'!F151=2,"categorie 2","categorie 3"))</f>
        <v>categorie 1</v>
      </c>
      <c r="G83" s="70"/>
      <c r="H83" s="34"/>
      <c r="I83" s="526">
        <f>ROUND('geg ll'!G151*VLOOKUP($F83,categoriePersVSO,8,FALSE),2)</f>
        <v>0</v>
      </c>
      <c r="J83" s="526">
        <f>ROUND('geg ll'!G151*VLOOKUP($F83,categoriePersVSO,6,FALSE),2)</f>
        <v>0</v>
      </c>
      <c r="K83" s="526">
        <f>ROUND('geg ll'!H151*VLOOKUP($F83,categoriePersVSO,7,FALSE),2)</f>
        <v>0</v>
      </c>
      <c r="L83" s="526">
        <f>ROUND('geg ll'!I151*VLOOKUP($F83,categoriePersVSO,8,FALSE),2)</f>
        <v>0</v>
      </c>
      <c r="M83" s="526">
        <f>ROUND('geg ll'!J151*VLOOKUP($F83,categoriePersVSO,8,FALSE),2)</f>
        <v>0</v>
      </c>
      <c r="N83" s="526">
        <f>ROUND('geg ll'!K151*VLOOKUP($F83,categoriePersVSO,8,FALSE),2)</f>
        <v>0</v>
      </c>
      <c r="O83" s="526">
        <f>ROUND('geg ll'!L151*VLOOKUP($F83,categoriePersVSO,8,FALSE),2)</f>
        <v>0</v>
      </c>
      <c r="P83" s="34"/>
      <c r="Q83" s="25"/>
    </row>
    <row r="84" spans="2:32" x14ac:dyDescent="0.2">
      <c r="B84" s="21"/>
      <c r="C84" s="34"/>
      <c r="D84" s="187" t="s">
        <v>15</v>
      </c>
      <c r="E84" s="34"/>
      <c r="F84" s="34" t="str">
        <f>IF('geg ll'!F152=1,"categorie 1",IF('geg ll'!F152=2,"categorie 2","categorie 3"))</f>
        <v>categorie 2</v>
      </c>
      <c r="G84" s="70"/>
      <c r="H84" s="34"/>
      <c r="I84" s="526">
        <f>ROUND('geg ll'!G152*VLOOKUP($F84,categoriePersVSO,8,FALSE),2)</f>
        <v>0</v>
      </c>
      <c r="J84" s="526">
        <f>ROUND('geg ll'!G152*VLOOKUP($F84,categoriePersVSO,6,FALSE),2)</f>
        <v>0</v>
      </c>
      <c r="K84" s="526">
        <f>ROUND('geg ll'!H152*VLOOKUP($F84,categoriePersVSO,7,FALSE),2)</f>
        <v>0</v>
      </c>
      <c r="L84" s="526">
        <f>ROUND('geg ll'!I152*VLOOKUP($F84,categoriePersVSO,8,FALSE),2)</f>
        <v>0</v>
      </c>
      <c r="M84" s="526">
        <f>ROUND('geg ll'!J152*VLOOKUP($F84,categoriePersVSO,8,FALSE),2)</f>
        <v>0</v>
      </c>
      <c r="N84" s="526">
        <f>ROUND('geg ll'!K152*VLOOKUP($F84,categoriePersVSO,8,FALSE),2)</f>
        <v>0</v>
      </c>
      <c r="O84" s="526">
        <f>ROUND('geg ll'!L152*VLOOKUP($F84,categoriePersVSO,8,FALSE),2)</f>
        <v>0</v>
      </c>
      <c r="P84" s="34"/>
      <c r="Q84" s="25"/>
    </row>
    <row r="85" spans="2:32" x14ac:dyDescent="0.2">
      <c r="B85" s="21"/>
      <c r="C85" s="34"/>
      <c r="D85" s="187"/>
      <c r="E85" s="34"/>
      <c r="F85" s="34" t="str">
        <f>IF('geg ll'!F153=1,"categorie 1",IF('geg ll'!F153=2,"categorie 2","categorie 3"))</f>
        <v>categorie 3</v>
      </c>
      <c r="G85" s="70"/>
      <c r="H85" s="34"/>
      <c r="I85" s="526">
        <f>ROUND('geg ll'!G153*VLOOKUP($F85,categoriePersVSO,8,FALSE),2)</f>
        <v>0</v>
      </c>
      <c r="J85" s="526">
        <f>ROUND('geg ll'!G153*VLOOKUP($F85,categoriePersVSO,6,FALSE),2)</f>
        <v>0</v>
      </c>
      <c r="K85" s="526">
        <f>ROUND('geg ll'!H153*VLOOKUP($F85,categoriePersVSO,7,FALSE),2)</f>
        <v>0</v>
      </c>
      <c r="L85" s="526">
        <f>ROUND('geg ll'!I153*VLOOKUP($F85,categoriePersVSO,8,FALSE),2)</f>
        <v>0</v>
      </c>
      <c r="M85" s="526">
        <f>ROUND('geg ll'!J153*VLOOKUP($F85,categoriePersVSO,8,FALSE),2)</f>
        <v>0</v>
      </c>
      <c r="N85" s="526">
        <f>ROUND('geg ll'!K153*VLOOKUP($F85,categoriePersVSO,8,FALSE),2)</f>
        <v>0</v>
      </c>
      <c r="O85" s="526">
        <f>ROUND('geg ll'!L153*VLOOKUP($F85,categoriePersVSO,8,FALSE),2)</f>
        <v>0</v>
      </c>
      <c r="P85" s="34"/>
      <c r="Q85" s="25"/>
    </row>
    <row r="86" spans="2:32" x14ac:dyDescent="0.2">
      <c r="B86" s="21"/>
      <c r="C86" s="34"/>
      <c r="D86" s="566" t="str">
        <f>'geg ll'!D155</f>
        <v>School 15</v>
      </c>
      <c r="E86" s="34"/>
      <c r="F86" s="34" t="str">
        <f>IF('geg ll'!F155=1,"categorie 1",IF('geg ll'!F155=2,"categorie 2","categorie 3"))</f>
        <v>categorie 1</v>
      </c>
      <c r="G86" s="70"/>
      <c r="H86" s="34"/>
      <c r="I86" s="526">
        <f>ROUND('geg ll'!G155*VLOOKUP($F85,categoriePersVSO,8,FALSE),2)</f>
        <v>0</v>
      </c>
      <c r="J86" s="526">
        <f>ROUND('geg ll'!G155*VLOOKUP($F85,categoriePersVSO,6,FALSE),2)</f>
        <v>0</v>
      </c>
      <c r="K86" s="526">
        <f>ROUND('geg ll'!H155*VLOOKUP($F85,categoriePersVSO,7,FALSE),2)</f>
        <v>0</v>
      </c>
      <c r="L86" s="526">
        <f>ROUND('geg ll'!I155*VLOOKUP($F85,categoriePersVSO,8,FALSE),2)</f>
        <v>0</v>
      </c>
      <c r="M86" s="526">
        <f>ROUND('geg ll'!J155*VLOOKUP($F85,categoriePersVSO,8,FALSE),2)</f>
        <v>0</v>
      </c>
      <c r="N86" s="526">
        <f>ROUND('geg ll'!K155*VLOOKUP($F85,categoriePersVSO,8,FALSE),2)</f>
        <v>0</v>
      </c>
      <c r="O86" s="526">
        <f>ROUND('geg ll'!L155*VLOOKUP($F85,categoriePersVSO,8,FALSE),2)</f>
        <v>0</v>
      </c>
      <c r="P86" s="34"/>
      <c r="Q86" s="25"/>
    </row>
    <row r="87" spans="2:32" x14ac:dyDescent="0.2">
      <c r="B87" s="21"/>
      <c r="C87" s="34"/>
      <c r="D87" s="187" t="s">
        <v>15</v>
      </c>
      <c r="E87" s="34"/>
      <c r="F87" s="34" t="str">
        <f>IF('geg ll'!F156=1,"categorie 1",IF('geg ll'!F156=2,"categorie 2","categorie 3"))</f>
        <v>categorie 2</v>
      </c>
      <c r="G87" s="70"/>
      <c r="H87" s="34"/>
      <c r="I87" s="526">
        <f>ROUND('geg ll'!G156*VLOOKUP($F87,categoriePersVSO,8,FALSE),2)</f>
        <v>0</v>
      </c>
      <c r="J87" s="526">
        <f>ROUND('geg ll'!G156*VLOOKUP($F87,categoriePersVSO,6,FALSE),2)</f>
        <v>0</v>
      </c>
      <c r="K87" s="526">
        <f>ROUND('geg ll'!H156*VLOOKUP($F87,categoriePersVSO,7,FALSE),2)</f>
        <v>0</v>
      </c>
      <c r="L87" s="526">
        <f>ROUND('geg ll'!I156*VLOOKUP($F87,categoriePersVSO,8,FALSE),2)</f>
        <v>0</v>
      </c>
      <c r="M87" s="526">
        <f>ROUND('geg ll'!J156*VLOOKUP($F87,categoriePersVSO,8,FALSE),2)</f>
        <v>0</v>
      </c>
      <c r="N87" s="526">
        <f>ROUND('geg ll'!K156*VLOOKUP($F87,categoriePersVSO,8,FALSE),2)</f>
        <v>0</v>
      </c>
      <c r="O87" s="526">
        <f>ROUND('geg ll'!L156*VLOOKUP($F87,categoriePersVSO,8,FALSE),2)</f>
        <v>0</v>
      </c>
      <c r="P87" s="34"/>
      <c r="Q87" s="25"/>
    </row>
    <row r="88" spans="2:32" x14ac:dyDescent="0.2">
      <c r="B88" s="21"/>
      <c r="C88" s="34"/>
      <c r="D88" s="187"/>
      <c r="E88" s="34"/>
      <c r="F88" s="34" t="str">
        <f>IF('geg ll'!F157=1,"categorie 1",IF('geg ll'!F157=2,"categorie 2","categorie 3"))</f>
        <v>categorie 3</v>
      </c>
      <c r="G88" s="70"/>
      <c r="H88" s="34"/>
      <c r="I88" s="526">
        <f>ROUND('geg ll'!G157*VLOOKUP($F88,categoriePersVSO,8,FALSE),2)</f>
        <v>0</v>
      </c>
      <c r="J88" s="526">
        <f>ROUND('geg ll'!G157*VLOOKUP($F88,categoriePersVSO,6,FALSE),2)</f>
        <v>0</v>
      </c>
      <c r="K88" s="526">
        <f>ROUND('geg ll'!H157*VLOOKUP($F88,categoriePersVSO,7,FALSE),2)</f>
        <v>0</v>
      </c>
      <c r="L88" s="526">
        <f>ROUND('geg ll'!I157*VLOOKUP($F88,categoriePersVSO,8,FALSE),2)</f>
        <v>0</v>
      </c>
      <c r="M88" s="526">
        <f>ROUND('geg ll'!J157*VLOOKUP($F88,categoriePersVSO,8,FALSE),2)</f>
        <v>0</v>
      </c>
      <c r="N88" s="526">
        <f>ROUND('geg ll'!K157*VLOOKUP($F88,categoriePersVSO,8,FALSE),2)</f>
        <v>0</v>
      </c>
      <c r="O88" s="526">
        <f>ROUND('geg ll'!L157*VLOOKUP($F88,categoriePersVSO,8,FALSE),2)</f>
        <v>0</v>
      </c>
      <c r="P88" s="34"/>
      <c r="Q88" s="25"/>
      <c r="S88" s="790"/>
      <c r="T88" s="790"/>
      <c r="U88" s="790"/>
      <c r="V88" s="790"/>
      <c r="W88" s="790"/>
      <c r="X88" s="790"/>
      <c r="Y88" s="790"/>
      <c r="Z88" s="790"/>
      <c r="AA88" s="790"/>
      <c r="AB88" s="790"/>
      <c r="AC88" s="790"/>
      <c r="AD88" s="790"/>
      <c r="AE88" s="790"/>
      <c r="AF88" s="790"/>
    </row>
    <row r="89" spans="2:32" x14ac:dyDescent="0.2">
      <c r="B89" s="21"/>
      <c r="C89" s="34"/>
      <c r="D89" s="566" t="str">
        <f>+'geg ll'!D159</f>
        <v>School 16</v>
      </c>
      <c r="E89" s="34"/>
      <c r="F89" s="34" t="str">
        <f>IF('geg ll'!F159=1,"categorie 1",IF('geg ll'!F159=2,"categorie 2","categorie 3"))</f>
        <v>categorie 1</v>
      </c>
      <c r="G89" s="70"/>
      <c r="H89" s="34"/>
      <c r="I89" s="526">
        <f>ROUND('geg ll'!G159*VLOOKUP($F89,categoriePersVSO,8,FALSE),2)</f>
        <v>0</v>
      </c>
      <c r="J89" s="526">
        <f>ROUND('geg ll'!G159*VLOOKUP($F89,categoriePersVSO,6,FALSE),2)</f>
        <v>0</v>
      </c>
      <c r="K89" s="526">
        <f>ROUND('geg ll'!H159*VLOOKUP($F89,categoriePersVSO,7,FALSE),2)</f>
        <v>0</v>
      </c>
      <c r="L89" s="526">
        <f>ROUND('geg ll'!I159*VLOOKUP($F89,categoriePersVSO,8,FALSE),2)</f>
        <v>0</v>
      </c>
      <c r="M89" s="526">
        <f>ROUND('geg ll'!J159*VLOOKUP($F89,categoriePersVSO,8,FALSE),2)</f>
        <v>0</v>
      </c>
      <c r="N89" s="526">
        <f>ROUND('geg ll'!K159*VLOOKUP($F89,categoriePersVSO,8,FALSE),2)</f>
        <v>0</v>
      </c>
      <c r="O89" s="526">
        <f>ROUND('geg ll'!L159*VLOOKUP($F89,categoriePersVSO,8,FALSE),2)</f>
        <v>0</v>
      </c>
      <c r="P89" s="34"/>
      <c r="Q89" s="25"/>
      <c r="S89" s="790"/>
      <c r="T89" s="790"/>
      <c r="U89" s="790"/>
      <c r="V89" s="790"/>
      <c r="W89" s="790"/>
      <c r="X89" s="790"/>
      <c r="Y89" s="790"/>
      <c r="Z89" s="790"/>
      <c r="AA89" s="790"/>
      <c r="AB89" s="790"/>
      <c r="AC89" s="790"/>
      <c r="AD89" s="790"/>
      <c r="AE89" s="790"/>
      <c r="AF89" s="790"/>
    </row>
    <row r="90" spans="2:32" x14ac:dyDescent="0.2">
      <c r="B90" s="21"/>
      <c r="C90" s="34"/>
      <c r="D90" s="187"/>
      <c r="E90" s="34"/>
      <c r="F90" s="34" t="str">
        <f>IF('geg ll'!F160=1,"categorie 1",IF('geg ll'!F160=2,"categorie 2","categorie 3"))</f>
        <v>categorie 2</v>
      </c>
      <c r="G90" s="70"/>
      <c r="H90" s="34"/>
      <c r="I90" s="526">
        <f>ROUND('geg ll'!G160*VLOOKUP($F90,categoriePersVSO,8,FALSE),2)</f>
        <v>0</v>
      </c>
      <c r="J90" s="526">
        <f>ROUND('geg ll'!G160*VLOOKUP($F90,categoriePersVSO,6,FALSE),2)</f>
        <v>0</v>
      </c>
      <c r="K90" s="526">
        <f>ROUND('geg ll'!H160*VLOOKUP($F90,categoriePersVSO,7,FALSE),2)</f>
        <v>0</v>
      </c>
      <c r="L90" s="526">
        <f>ROUND('geg ll'!I160*VLOOKUP($F90,categoriePersVSO,8,FALSE),2)</f>
        <v>0</v>
      </c>
      <c r="M90" s="526">
        <f>ROUND('geg ll'!J160*VLOOKUP($F90,categoriePersVSO,8,FALSE),2)</f>
        <v>0</v>
      </c>
      <c r="N90" s="526">
        <f>ROUND('geg ll'!K160*VLOOKUP($F90,categoriePersVSO,8,FALSE),2)</f>
        <v>0</v>
      </c>
      <c r="O90" s="526">
        <f>ROUND('geg ll'!L160*VLOOKUP($F90,categoriePersVSO,8,FALSE),2)</f>
        <v>0</v>
      </c>
      <c r="P90" s="34"/>
      <c r="Q90" s="25"/>
      <c r="S90" s="790"/>
      <c r="T90" s="790"/>
      <c r="U90" s="790"/>
      <c r="V90" s="790"/>
      <c r="W90" s="790"/>
      <c r="X90" s="790"/>
      <c r="Y90" s="790"/>
      <c r="Z90" s="790"/>
      <c r="AA90" s="790"/>
      <c r="AB90" s="790"/>
      <c r="AC90" s="790"/>
      <c r="AD90" s="790"/>
      <c r="AE90" s="790"/>
      <c r="AF90" s="790"/>
    </row>
    <row r="91" spans="2:32" x14ac:dyDescent="0.2">
      <c r="B91" s="21"/>
      <c r="C91" s="34"/>
      <c r="D91" s="187"/>
      <c r="E91" s="34"/>
      <c r="F91" s="34" t="str">
        <f>IF('geg ll'!F161=1,"categorie 1",IF('geg ll'!F161=2,"categorie 2","categorie 3"))</f>
        <v>categorie 3</v>
      </c>
      <c r="G91" s="70"/>
      <c r="H91" s="34"/>
      <c r="I91" s="526">
        <f>ROUND('geg ll'!G161*VLOOKUP($F91,categoriePersVSO,8,FALSE),2)</f>
        <v>0</v>
      </c>
      <c r="J91" s="526">
        <f>ROUND('geg ll'!G161*VLOOKUP($F91,categoriePersVSO,6,FALSE),2)</f>
        <v>0</v>
      </c>
      <c r="K91" s="526">
        <f>ROUND('geg ll'!H161*VLOOKUP($F91,categoriePersVSO,7,FALSE),2)</f>
        <v>0</v>
      </c>
      <c r="L91" s="526">
        <f>ROUND('geg ll'!I161*VLOOKUP($F91,categoriePersVSO,8,FALSE),2)</f>
        <v>0</v>
      </c>
      <c r="M91" s="526">
        <f>ROUND('geg ll'!J161*VLOOKUP($F91,categoriePersVSO,8,FALSE),2)</f>
        <v>0</v>
      </c>
      <c r="N91" s="526">
        <f>ROUND('geg ll'!K161*VLOOKUP($F91,categoriePersVSO,8,FALSE),2)</f>
        <v>0</v>
      </c>
      <c r="O91" s="526">
        <f>ROUND('geg ll'!L161*VLOOKUP($F91,categoriePersVSO,8,FALSE),2)</f>
        <v>0</v>
      </c>
      <c r="P91" s="34"/>
      <c r="Q91" s="25"/>
      <c r="S91" s="790"/>
      <c r="T91" s="790"/>
      <c r="U91" s="790"/>
      <c r="V91" s="790"/>
      <c r="W91" s="790"/>
      <c r="X91" s="790"/>
      <c r="Y91" s="790"/>
      <c r="Z91" s="790"/>
      <c r="AA91" s="790"/>
      <c r="AB91" s="790"/>
      <c r="AC91" s="790"/>
      <c r="AD91" s="790"/>
      <c r="AE91" s="790"/>
      <c r="AF91" s="790"/>
    </row>
    <row r="92" spans="2:32" x14ac:dyDescent="0.2">
      <c r="B92" s="21"/>
      <c r="C92" s="34"/>
      <c r="D92" s="566" t="str">
        <f>+'geg ll'!D163</f>
        <v>School 17</v>
      </c>
      <c r="E92" s="34"/>
      <c r="F92" s="34" t="str">
        <f>IF('geg ll'!F163=1,"categorie 1",IF('geg ll'!F163=2,"categorie 2","categorie 3"))</f>
        <v>categorie 1</v>
      </c>
      <c r="G92" s="70"/>
      <c r="H92" s="34"/>
      <c r="I92" s="526">
        <f>ROUND('geg ll'!G163*VLOOKUP($F92,categoriePersVSO,8,FALSE),2)</f>
        <v>0</v>
      </c>
      <c r="J92" s="526">
        <f>ROUND('geg ll'!G163*VLOOKUP($F92,categoriePersVSO,6,FALSE),2)</f>
        <v>0</v>
      </c>
      <c r="K92" s="526">
        <f>ROUND('geg ll'!H163*VLOOKUP($F92,categoriePersVSO,7,FALSE),2)</f>
        <v>0</v>
      </c>
      <c r="L92" s="526">
        <f>ROUND('geg ll'!I163*VLOOKUP($F92,categoriePersVSO,8,FALSE),2)</f>
        <v>0</v>
      </c>
      <c r="M92" s="526">
        <f>ROUND('geg ll'!J163*VLOOKUP($F92,categoriePersVSO,8,FALSE),2)</f>
        <v>0</v>
      </c>
      <c r="N92" s="526">
        <f>ROUND('geg ll'!K163*VLOOKUP($F92,categoriePersVSO,8,FALSE),2)</f>
        <v>0</v>
      </c>
      <c r="O92" s="526">
        <f>ROUND('geg ll'!L163*VLOOKUP($F92,categoriePersVSO,8,FALSE),2)</f>
        <v>0</v>
      </c>
      <c r="P92" s="34"/>
      <c r="Q92" s="25"/>
      <c r="S92" s="790"/>
      <c r="T92" s="790"/>
      <c r="U92" s="790"/>
      <c r="V92" s="790"/>
      <c r="W92" s="790"/>
      <c r="X92" s="790"/>
      <c r="Y92" s="790"/>
      <c r="Z92" s="790"/>
      <c r="AA92" s="790"/>
      <c r="AB92" s="790"/>
      <c r="AC92" s="790"/>
      <c r="AD92" s="790"/>
      <c r="AE92" s="790"/>
      <c r="AF92" s="790"/>
    </row>
    <row r="93" spans="2:32" x14ac:dyDescent="0.2">
      <c r="B93" s="21"/>
      <c r="C93" s="34"/>
      <c r="D93" s="187"/>
      <c r="E93" s="34"/>
      <c r="F93" s="34" t="str">
        <f>IF('geg ll'!F164=1,"categorie 1",IF('geg ll'!F164=2,"categorie 2","categorie 3"))</f>
        <v>categorie 2</v>
      </c>
      <c r="G93" s="70"/>
      <c r="H93" s="34"/>
      <c r="I93" s="526">
        <f>ROUND('geg ll'!G164*VLOOKUP($F93,categoriePersVSO,8,FALSE),2)</f>
        <v>0</v>
      </c>
      <c r="J93" s="526">
        <f>ROUND('geg ll'!G164*VLOOKUP($F93,categoriePersVSO,6,FALSE),2)</f>
        <v>0</v>
      </c>
      <c r="K93" s="526">
        <f>ROUND('geg ll'!H164*VLOOKUP($F93,categoriePersVSO,7,FALSE),2)</f>
        <v>0</v>
      </c>
      <c r="L93" s="526">
        <f>ROUND('geg ll'!I164*VLOOKUP($F93,categoriePersVSO,8,FALSE),2)</f>
        <v>0</v>
      </c>
      <c r="M93" s="526">
        <f>ROUND('geg ll'!J164*VLOOKUP($F93,categoriePersVSO,8,FALSE),2)</f>
        <v>0</v>
      </c>
      <c r="N93" s="526">
        <f>ROUND('geg ll'!K164*VLOOKUP($F93,categoriePersVSO,8,FALSE),2)</f>
        <v>0</v>
      </c>
      <c r="O93" s="526">
        <f>ROUND('geg ll'!L164*VLOOKUP($F93,categoriePersVSO,8,FALSE),2)</f>
        <v>0</v>
      </c>
      <c r="P93" s="34"/>
      <c r="Q93" s="25"/>
      <c r="S93" s="790"/>
      <c r="T93" s="790"/>
      <c r="U93" s="790"/>
      <c r="V93" s="790"/>
      <c r="W93" s="790"/>
      <c r="X93" s="790"/>
      <c r="Y93" s="790"/>
      <c r="Z93" s="790"/>
      <c r="AA93" s="790"/>
      <c r="AB93" s="790"/>
      <c r="AC93" s="790"/>
      <c r="AD93" s="790"/>
      <c r="AE93" s="790"/>
      <c r="AF93" s="790"/>
    </row>
    <row r="94" spans="2:32" x14ac:dyDescent="0.2">
      <c r="B94" s="21"/>
      <c r="C94" s="34"/>
      <c r="D94" s="187"/>
      <c r="E94" s="34"/>
      <c r="F94" s="34" t="str">
        <f>IF('geg ll'!F165=1,"categorie 1",IF('geg ll'!F165=2,"categorie 2","categorie 3"))</f>
        <v>categorie 3</v>
      </c>
      <c r="G94" s="70"/>
      <c r="H94" s="34"/>
      <c r="I94" s="526">
        <f>ROUND('geg ll'!G165*VLOOKUP($F94,categoriePersVSO,8,FALSE),2)</f>
        <v>0</v>
      </c>
      <c r="J94" s="526">
        <f>ROUND('geg ll'!G165*VLOOKUP($F94,categoriePersVSO,6,FALSE),2)</f>
        <v>0</v>
      </c>
      <c r="K94" s="526">
        <f>ROUND('geg ll'!H165*VLOOKUP($F94,categoriePersVSO,7,FALSE),2)</f>
        <v>0</v>
      </c>
      <c r="L94" s="526">
        <f>ROUND('geg ll'!I165*VLOOKUP($F94,categoriePersVSO,8,FALSE),2)</f>
        <v>0</v>
      </c>
      <c r="M94" s="526">
        <f>ROUND('geg ll'!J165*VLOOKUP($F94,categoriePersVSO,8,FALSE),2)</f>
        <v>0</v>
      </c>
      <c r="N94" s="526">
        <f>ROUND('geg ll'!K165*VLOOKUP($F94,categoriePersVSO,8,FALSE),2)</f>
        <v>0</v>
      </c>
      <c r="O94" s="526">
        <f>ROUND('geg ll'!L165*VLOOKUP($F94,categoriePersVSO,8,FALSE),2)</f>
        <v>0</v>
      </c>
      <c r="P94" s="34"/>
      <c r="Q94" s="25"/>
      <c r="S94" s="790"/>
      <c r="T94" s="790"/>
      <c r="U94" s="790"/>
      <c r="V94" s="790"/>
      <c r="W94" s="790"/>
      <c r="X94" s="790"/>
      <c r="Y94" s="790"/>
      <c r="Z94" s="790"/>
      <c r="AA94" s="790"/>
      <c r="AB94" s="790"/>
      <c r="AC94" s="790"/>
      <c r="AD94" s="790"/>
      <c r="AE94" s="790"/>
      <c r="AF94" s="790"/>
    </row>
    <row r="95" spans="2:32" x14ac:dyDescent="0.2">
      <c r="B95" s="21"/>
      <c r="C95" s="34"/>
      <c r="D95" s="566" t="str">
        <f>+'geg ll'!D167</f>
        <v>School 18</v>
      </c>
      <c r="E95" s="34"/>
      <c r="F95" s="34" t="str">
        <f>IF('geg ll'!F167=1,"categorie 1",IF('geg ll'!F167=2,"categorie 2","categorie 3"))</f>
        <v>categorie 1</v>
      </c>
      <c r="G95" s="70"/>
      <c r="H95" s="34"/>
      <c r="I95" s="526">
        <f>ROUND('geg ll'!G167*VLOOKUP($F95,categoriePersVSO,8,FALSE),2)</f>
        <v>0</v>
      </c>
      <c r="J95" s="526">
        <f>ROUND('geg ll'!G167*VLOOKUP($F95,categoriePersVSO,6,FALSE),2)</f>
        <v>0</v>
      </c>
      <c r="K95" s="526">
        <f>ROUND('geg ll'!H167*VLOOKUP($F95,categoriePersVSO,7,FALSE),2)</f>
        <v>0</v>
      </c>
      <c r="L95" s="526">
        <f>ROUND('geg ll'!I167*VLOOKUP($F95,categoriePersVSO,8,FALSE),2)</f>
        <v>0</v>
      </c>
      <c r="M95" s="526">
        <f>ROUND('geg ll'!J167*VLOOKUP($F95,categoriePersVSO,8,FALSE),2)</f>
        <v>0</v>
      </c>
      <c r="N95" s="526">
        <f>ROUND('geg ll'!K167*VLOOKUP($F95,categoriePersVSO,8,FALSE),2)</f>
        <v>0</v>
      </c>
      <c r="O95" s="526">
        <f>ROUND('geg ll'!L167*VLOOKUP($F95,categoriePersVSO,8,FALSE),2)</f>
        <v>0</v>
      </c>
      <c r="P95" s="34"/>
      <c r="Q95" s="25"/>
      <c r="S95" s="790"/>
      <c r="T95" s="790"/>
      <c r="U95" s="790"/>
      <c r="V95" s="790"/>
      <c r="W95" s="790"/>
      <c r="X95" s="790"/>
      <c r="Y95" s="790"/>
      <c r="Z95" s="790"/>
      <c r="AA95" s="790"/>
      <c r="AB95" s="790"/>
      <c r="AC95" s="790"/>
      <c r="AD95" s="790"/>
      <c r="AE95" s="790"/>
      <c r="AF95" s="790"/>
    </row>
    <row r="96" spans="2:32" x14ac:dyDescent="0.2">
      <c r="B96" s="21"/>
      <c r="C96" s="34"/>
      <c r="D96" s="187"/>
      <c r="E96" s="34"/>
      <c r="F96" s="34" t="str">
        <f>IF('geg ll'!F168=1,"categorie 1",IF('geg ll'!F168=2,"categorie 2","categorie 3"))</f>
        <v>categorie 2</v>
      </c>
      <c r="G96" s="70"/>
      <c r="H96" s="34"/>
      <c r="I96" s="526">
        <f>ROUND('geg ll'!G168*VLOOKUP($F95,categoriePersVSO,8,FALSE),2)</f>
        <v>0</v>
      </c>
      <c r="J96" s="526">
        <f>ROUND('geg ll'!G168*VLOOKUP($F95,categoriePersVSO,6,FALSE),2)</f>
        <v>0</v>
      </c>
      <c r="K96" s="526">
        <f>ROUND('geg ll'!H168*VLOOKUP($F95,categoriePersVSO,7,FALSE),2)</f>
        <v>0</v>
      </c>
      <c r="L96" s="526">
        <f>ROUND('geg ll'!I168*VLOOKUP($F95,categoriePersVSO,8,FALSE),2)</f>
        <v>0</v>
      </c>
      <c r="M96" s="526">
        <f>ROUND('geg ll'!J168*VLOOKUP($F95,categoriePersVSO,8,FALSE),2)</f>
        <v>0</v>
      </c>
      <c r="N96" s="526">
        <f>ROUND('geg ll'!K168*VLOOKUP($F95,categoriePersVSO,8,FALSE),2)</f>
        <v>0</v>
      </c>
      <c r="O96" s="526">
        <f>ROUND('geg ll'!L168*VLOOKUP($F95,categoriePersVSO,8,FALSE),2)</f>
        <v>0</v>
      </c>
      <c r="P96" s="34"/>
      <c r="Q96" s="25"/>
      <c r="S96" s="790"/>
      <c r="T96" s="790"/>
      <c r="U96" s="790"/>
      <c r="V96" s="790"/>
      <c r="W96" s="790"/>
      <c r="X96" s="790"/>
      <c r="Y96" s="790"/>
      <c r="Z96" s="790"/>
      <c r="AA96" s="790"/>
      <c r="AB96" s="790"/>
      <c r="AC96" s="790"/>
      <c r="AD96" s="790"/>
      <c r="AE96" s="790"/>
      <c r="AF96" s="790"/>
    </row>
    <row r="97" spans="2:17" x14ac:dyDescent="0.2">
      <c r="B97" s="21"/>
      <c r="C97" s="34"/>
      <c r="D97" s="187"/>
      <c r="E97" s="34"/>
      <c r="F97" s="34" t="str">
        <f>IF('geg ll'!F169=1,"categorie 1",IF('geg ll'!F169=2,"categorie 2","categorie 3"))</f>
        <v>categorie 3</v>
      </c>
      <c r="G97" s="70"/>
      <c r="H97" s="34"/>
      <c r="I97" s="526">
        <f>ROUND('geg ll'!G169*VLOOKUP($F97,categoriePersVSO,8,FALSE),2)</f>
        <v>0</v>
      </c>
      <c r="J97" s="526">
        <f>ROUND('geg ll'!G169*VLOOKUP($F97,categoriePersVSO,6,FALSE),2)</f>
        <v>0</v>
      </c>
      <c r="K97" s="526">
        <f>ROUND('geg ll'!H169*VLOOKUP($F97,categoriePersVSO,7,FALSE),2)</f>
        <v>0</v>
      </c>
      <c r="L97" s="526">
        <f>ROUND('geg ll'!I169*VLOOKUP($F97,categoriePersVSO,8,FALSE),2)</f>
        <v>0</v>
      </c>
      <c r="M97" s="526">
        <f>ROUND('geg ll'!J169*VLOOKUP($F97,categoriePersVSO,8,FALSE),2)</f>
        <v>0</v>
      </c>
      <c r="N97" s="526">
        <f>ROUND('geg ll'!K169*VLOOKUP($F97,categoriePersVSO,8,FALSE),2)</f>
        <v>0</v>
      </c>
      <c r="O97" s="526">
        <f>ROUND('geg ll'!L169*VLOOKUP($F97,categoriePersVSO,8,FALSE),2)</f>
        <v>0</v>
      </c>
      <c r="P97" s="34"/>
      <c r="Q97" s="25"/>
    </row>
    <row r="98" spans="2:17" x14ac:dyDescent="0.2">
      <c r="B98" s="21"/>
      <c r="C98" s="34"/>
      <c r="D98" s="566" t="str">
        <f>+'geg ll'!D171</f>
        <v>School 19</v>
      </c>
      <c r="E98" s="34"/>
      <c r="F98" s="34" t="str">
        <f>IF('geg ll'!F171=1,"categorie 1",IF('geg ll'!F171=2,"categorie 2","categorie 3"))</f>
        <v>categorie 1</v>
      </c>
      <c r="G98" s="70"/>
      <c r="H98" s="34"/>
      <c r="I98" s="526">
        <f>ROUND('geg ll'!G171*VLOOKUP($F98,categoriePersVSO,8,FALSE),2)</f>
        <v>0</v>
      </c>
      <c r="J98" s="526">
        <f>ROUND('geg ll'!G171*VLOOKUP($F98,categoriePersVSO,6,FALSE),2)</f>
        <v>0</v>
      </c>
      <c r="K98" s="526">
        <f>ROUND('geg ll'!H171*VLOOKUP($F98,categoriePersVSO,7,FALSE),2)</f>
        <v>0</v>
      </c>
      <c r="L98" s="526">
        <f>ROUND('geg ll'!I171*VLOOKUP($F98,categoriePersVSO,8,FALSE),2)</f>
        <v>0</v>
      </c>
      <c r="M98" s="526">
        <f>ROUND('geg ll'!J171*VLOOKUP($F98,categoriePersVSO,8,FALSE),2)</f>
        <v>0</v>
      </c>
      <c r="N98" s="526">
        <f>ROUND('geg ll'!K171*VLOOKUP($F98,categoriePersVSO,8,FALSE),2)</f>
        <v>0</v>
      </c>
      <c r="O98" s="526">
        <f>ROUND('geg ll'!L171*VLOOKUP($F98,categoriePersVSO,8,FALSE),2)</f>
        <v>0</v>
      </c>
      <c r="P98" s="34"/>
      <c r="Q98" s="25"/>
    </row>
    <row r="99" spans="2:17" x14ac:dyDescent="0.2">
      <c r="B99" s="21"/>
      <c r="C99" s="34"/>
      <c r="D99" s="187"/>
      <c r="E99" s="34"/>
      <c r="F99" s="34" t="str">
        <f>IF('geg ll'!F172=1,"categorie 1",IF('geg ll'!F172=2,"categorie 2","categorie 3"))</f>
        <v>categorie 2</v>
      </c>
      <c r="G99" s="70"/>
      <c r="H99" s="34"/>
      <c r="I99" s="526">
        <f>ROUND('geg ll'!G172*VLOOKUP($F99,categoriePersVSO,8,FALSE),2)</f>
        <v>0</v>
      </c>
      <c r="J99" s="526">
        <f>ROUND('geg ll'!G172*VLOOKUP($F99,categoriePersVSO,6,FALSE),2)</f>
        <v>0</v>
      </c>
      <c r="K99" s="526">
        <f>ROUND('geg ll'!H172*VLOOKUP($F99,categoriePersVSO,7,FALSE),2)</f>
        <v>0</v>
      </c>
      <c r="L99" s="526">
        <f>ROUND('geg ll'!I172*VLOOKUP($F99,categoriePersVSO,8,FALSE),2)</f>
        <v>0</v>
      </c>
      <c r="M99" s="526">
        <f>ROUND('geg ll'!J172*VLOOKUP($F99,categoriePersVSO,8,FALSE),2)</f>
        <v>0</v>
      </c>
      <c r="N99" s="526">
        <f>ROUND('geg ll'!K172*VLOOKUP($F99,categoriePersVSO,8,FALSE),2)</f>
        <v>0</v>
      </c>
      <c r="O99" s="526">
        <f>ROUND('geg ll'!L172*VLOOKUP($F99,categoriePersVSO,8,FALSE),2)</f>
        <v>0</v>
      </c>
      <c r="P99" s="34"/>
      <c r="Q99" s="25"/>
    </row>
    <row r="100" spans="2:17" x14ac:dyDescent="0.2">
      <c r="B100" s="21"/>
      <c r="C100" s="34"/>
      <c r="D100" s="187"/>
      <c r="E100" s="34"/>
      <c r="F100" s="34" t="str">
        <f>IF('geg ll'!F173=1,"categorie 1",IF('geg ll'!F173=2,"categorie 2","categorie 3"))</f>
        <v>categorie 3</v>
      </c>
      <c r="G100" s="70"/>
      <c r="H100" s="34"/>
      <c r="I100" s="526">
        <f>ROUND('geg ll'!G173*VLOOKUP($F100,categoriePersVSO,8,FALSE),2)</f>
        <v>0</v>
      </c>
      <c r="J100" s="526">
        <f>ROUND('geg ll'!G173*VLOOKUP($F100,categoriePersVSO,6,FALSE),2)</f>
        <v>0</v>
      </c>
      <c r="K100" s="526">
        <f>ROUND('geg ll'!H173*VLOOKUP($F100,categoriePersVSO,7,FALSE),2)</f>
        <v>0</v>
      </c>
      <c r="L100" s="526">
        <f>ROUND('geg ll'!I173*VLOOKUP($F100,categoriePersVSO,8,FALSE),2)</f>
        <v>0</v>
      </c>
      <c r="M100" s="526">
        <f>ROUND('geg ll'!J173*VLOOKUP($F100,categoriePersVSO,8,FALSE),2)</f>
        <v>0</v>
      </c>
      <c r="N100" s="526">
        <f>ROUND('geg ll'!K173*VLOOKUP($F100,categoriePersVSO,8,FALSE),2)</f>
        <v>0</v>
      </c>
      <c r="O100" s="526">
        <f>ROUND('geg ll'!L173*VLOOKUP($F100,categoriePersVSO,8,FALSE),2)</f>
        <v>0</v>
      </c>
      <c r="P100" s="34"/>
      <c r="Q100" s="25"/>
    </row>
    <row r="101" spans="2:17" x14ac:dyDescent="0.2">
      <c r="B101" s="21"/>
      <c r="C101" s="34"/>
      <c r="D101" s="566" t="str">
        <f>+'geg ll'!D175</f>
        <v>School 20</v>
      </c>
      <c r="E101" s="34"/>
      <c r="F101" s="34" t="str">
        <f>IF('geg ll'!F175=1,"categorie 1",IF('geg ll'!F175=2,"categorie 2","categorie 3"))</f>
        <v>categorie 1</v>
      </c>
      <c r="G101" s="70"/>
      <c r="H101" s="34"/>
      <c r="I101" s="526">
        <f>ROUND('geg ll'!G175*VLOOKUP($F101,categoriePersVSO,8,FALSE),2)</f>
        <v>0</v>
      </c>
      <c r="J101" s="526">
        <f>ROUND('geg ll'!G175*VLOOKUP($F101,categoriePersVSO,6,FALSE),2)</f>
        <v>0</v>
      </c>
      <c r="K101" s="526">
        <f>ROUND('geg ll'!H175*VLOOKUP($F101,categoriePersVSO,7,FALSE),2)</f>
        <v>0</v>
      </c>
      <c r="L101" s="526">
        <f>ROUND('geg ll'!I175*VLOOKUP($F101,categoriePersVSO,8,FALSE),2)</f>
        <v>0</v>
      </c>
      <c r="M101" s="526">
        <f>ROUND('geg ll'!J175*VLOOKUP($F101,categoriePersVSO,8,FALSE),2)</f>
        <v>0</v>
      </c>
      <c r="N101" s="526">
        <f>ROUND('geg ll'!K175*VLOOKUP($F101,categoriePersVSO,8,FALSE),2)</f>
        <v>0</v>
      </c>
      <c r="O101" s="526">
        <f>ROUND('geg ll'!L175*VLOOKUP($F101,categoriePersVSO,8,FALSE),2)</f>
        <v>0</v>
      </c>
      <c r="P101" s="34"/>
      <c r="Q101" s="25"/>
    </row>
    <row r="102" spans="2:17" x14ac:dyDescent="0.2">
      <c r="B102" s="21"/>
      <c r="C102" s="34"/>
      <c r="D102" s="187"/>
      <c r="E102" s="34"/>
      <c r="F102" s="34" t="str">
        <f>IF('geg ll'!F176=1,"categorie 1",IF('geg ll'!F176=2,"categorie 2","categorie 3"))</f>
        <v>categorie 2</v>
      </c>
      <c r="G102" s="70"/>
      <c r="H102" s="34"/>
      <c r="I102" s="526">
        <f>ROUND('geg ll'!G176*VLOOKUP($F102,categoriePersVSO,8,FALSE),2)</f>
        <v>0</v>
      </c>
      <c r="J102" s="526">
        <f>ROUND('geg ll'!G176*VLOOKUP($F102,categoriePersVSO,6,FALSE),2)</f>
        <v>0</v>
      </c>
      <c r="K102" s="526">
        <f>ROUND('geg ll'!H176*VLOOKUP($F102,categoriePersVSO,7,FALSE),2)</f>
        <v>0</v>
      </c>
      <c r="L102" s="526">
        <f>ROUND('geg ll'!I176*VLOOKUP($F102,categoriePersVSO,8,FALSE),2)</f>
        <v>0</v>
      </c>
      <c r="M102" s="526">
        <f>ROUND('geg ll'!J176*VLOOKUP($F102,categoriePersVSO,8,FALSE),2)</f>
        <v>0</v>
      </c>
      <c r="N102" s="526">
        <f>ROUND('geg ll'!K176*VLOOKUP($F102,categoriePersVSO,8,FALSE),2)</f>
        <v>0</v>
      </c>
      <c r="O102" s="526">
        <f>ROUND('geg ll'!L176*VLOOKUP($F102,categoriePersVSO,8,FALSE),2)</f>
        <v>0</v>
      </c>
      <c r="P102" s="34"/>
      <c r="Q102" s="25"/>
    </row>
    <row r="103" spans="2:17" x14ac:dyDescent="0.2">
      <c r="B103" s="21"/>
      <c r="C103" s="34"/>
      <c r="D103" s="187"/>
      <c r="E103" s="34"/>
      <c r="F103" s="34" t="str">
        <f>IF('geg ll'!F177=1,"categorie 1",IF('geg ll'!F177=2,"categorie 2","categorie 3"))</f>
        <v>categorie 3</v>
      </c>
      <c r="G103" s="70"/>
      <c r="H103" s="34"/>
      <c r="I103" s="526">
        <f>ROUND('geg ll'!G177*VLOOKUP($F103,categoriePersVSO,8,FALSE),2)</f>
        <v>0</v>
      </c>
      <c r="J103" s="526">
        <f>ROUND('geg ll'!G177*VLOOKUP($F103,categoriePersVSO,6,FALSE),2)</f>
        <v>0</v>
      </c>
      <c r="K103" s="526">
        <f>ROUND('geg ll'!H177*VLOOKUP($F103,categoriePersVSO,7,FALSE),2)</f>
        <v>0</v>
      </c>
      <c r="L103" s="526">
        <f>ROUND('geg ll'!I177*VLOOKUP($F103,categoriePersVSO,8,FALSE),2)</f>
        <v>0</v>
      </c>
      <c r="M103" s="526">
        <f>ROUND('geg ll'!J177*VLOOKUP($F103,categoriePersVSO,8,FALSE),2)</f>
        <v>0</v>
      </c>
      <c r="N103" s="526">
        <f>ROUND('geg ll'!K177*VLOOKUP($F103,categoriePersVSO,8,FALSE),2)</f>
        <v>0</v>
      </c>
      <c r="O103" s="526">
        <f>ROUND('geg ll'!L177*VLOOKUP($F103,categoriePersVSO,8,FALSE),2)</f>
        <v>0</v>
      </c>
      <c r="P103" s="34"/>
      <c r="Q103" s="25"/>
    </row>
    <row r="104" spans="2:17" x14ac:dyDescent="0.2">
      <c r="B104" s="21"/>
      <c r="C104" s="34"/>
      <c r="D104" s="566" t="str">
        <f>+'geg ll'!D179</f>
        <v>School 21</v>
      </c>
      <c r="E104" s="34"/>
      <c r="F104" s="34" t="str">
        <f>IF('geg ll'!F179=1,"categorie 1",IF('geg ll'!F179=2,"categorie 2","categorie 3"))</f>
        <v>categorie 1</v>
      </c>
      <c r="G104" s="70"/>
      <c r="H104" s="34"/>
      <c r="I104" s="526">
        <f>ROUND('geg ll'!G179*VLOOKUP($F104,categoriePersVSO,8,FALSE),2)</f>
        <v>0</v>
      </c>
      <c r="J104" s="526">
        <f>ROUND('geg ll'!G179*VLOOKUP($F104,categoriePersVSO,6,FALSE),2)</f>
        <v>0</v>
      </c>
      <c r="K104" s="526">
        <f>ROUND('geg ll'!H179*VLOOKUP($F104,categoriePersVSO,7,FALSE),2)</f>
        <v>0</v>
      </c>
      <c r="L104" s="526">
        <f>ROUND('geg ll'!I179*VLOOKUP($F104,categoriePersVSO,8,FALSE),2)</f>
        <v>0</v>
      </c>
      <c r="M104" s="526">
        <f>ROUND('geg ll'!J179*VLOOKUP($F104,categoriePersVSO,8,FALSE),2)</f>
        <v>0</v>
      </c>
      <c r="N104" s="526">
        <f>ROUND('geg ll'!K179*VLOOKUP($F104,categoriePersVSO,8,FALSE),2)</f>
        <v>0</v>
      </c>
      <c r="O104" s="526">
        <f>ROUND('geg ll'!L179*VLOOKUP($F104,categoriePersVSO,8,FALSE),2)</f>
        <v>0</v>
      </c>
      <c r="P104" s="34"/>
      <c r="Q104" s="25"/>
    </row>
    <row r="105" spans="2:17" x14ac:dyDescent="0.2">
      <c r="B105" s="21"/>
      <c r="C105" s="34"/>
      <c r="D105" s="187"/>
      <c r="E105" s="34"/>
      <c r="F105" s="34" t="str">
        <f>IF('geg ll'!F180=1,"categorie 1",IF('geg ll'!F180=2,"categorie 2","categorie 3"))</f>
        <v>categorie 2</v>
      </c>
      <c r="G105" s="70"/>
      <c r="H105" s="34"/>
      <c r="I105" s="526">
        <f>ROUND('geg ll'!G180*VLOOKUP($F105,categoriePersVSO,8,FALSE),2)</f>
        <v>0</v>
      </c>
      <c r="J105" s="526">
        <f>ROUND('geg ll'!G180*VLOOKUP($F105,categoriePersVSO,6,FALSE),2)</f>
        <v>0</v>
      </c>
      <c r="K105" s="526">
        <f>ROUND('geg ll'!H180*VLOOKUP($F105,categoriePersVSO,7,FALSE),2)</f>
        <v>0</v>
      </c>
      <c r="L105" s="526">
        <f>ROUND('geg ll'!I180*VLOOKUP($F105,categoriePersVSO,8,FALSE),2)</f>
        <v>0</v>
      </c>
      <c r="M105" s="526">
        <f>ROUND('geg ll'!J180*VLOOKUP($F105,categoriePersVSO,8,FALSE),2)</f>
        <v>0</v>
      </c>
      <c r="N105" s="526">
        <f>ROUND('geg ll'!K180*VLOOKUP($F105,categoriePersVSO,8,FALSE),2)</f>
        <v>0</v>
      </c>
      <c r="O105" s="526">
        <f>ROUND('geg ll'!L180*VLOOKUP($F105,categoriePersVSO,8,FALSE),2)</f>
        <v>0</v>
      </c>
      <c r="P105" s="34"/>
      <c r="Q105" s="25"/>
    </row>
    <row r="106" spans="2:17" x14ac:dyDescent="0.2">
      <c r="B106" s="21"/>
      <c r="C106" s="34"/>
      <c r="D106" s="187"/>
      <c r="E106" s="34"/>
      <c r="F106" s="34" t="str">
        <f>IF('geg ll'!F181=1,"categorie 1",IF('geg ll'!F181=2,"categorie 2","categorie 3"))</f>
        <v>categorie 3</v>
      </c>
      <c r="G106" s="70"/>
      <c r="H106" s="34"/>
      <c r="I106" s="526">
        <f>ROUND('geg ll'!G181*VLOOKUP($F105,categoriePersVSO,8,FALSE),2)</f>
        <v>0</v>
      </c>
      <c r="J106" s="526">
        <f>ROUND('geg ll'!G181*VLOOKUP($F105,categoriePersVSO,6,FALSE),2)</f>
        <v>0</v>
      </c>
      <c r="K106" s="526">
        <f>ROUND('geg ll'!H181*VLOOKUP($F105,categoriePersVSO,7,FALSE),2)</f>
        <v>0</v>
      </c>
      <c r="L106" s="526">
        <f>ROUND('geg ll'!I181*VLOOKUP($F105,categoriePersVSO,8,FALSE),2)</f>
        <v>0</v>
      </c>
      <c r="M106" s="526">
        <f>ROUND('geg ll'!J181*VLOOKUP($F105,categoriePersVSO,8,FALSE),2)</f>
        <v>0</v>
      </c>
      <c r="N106" s="526">
        <f>ROUND('geg ll'!K181*VLOOKUP($F105,categoriePersVSO,8,FALSE),2)</f>
        <v>0</v>
      </c>
      <c r="O106" s="526">
        <f>ROUND('geg ll'!L181*VLOOKUP($F105,categoriePersVSO,8,FALSE),2)</f>
        <v>0</v>
      </c>
      <c r="P106" s="34"/>
      <c r="Q106" s="25"/>
    </row>
    <row r="107" spans="2:17" x14ac:dyDescent="0.2">
      <c r="B107" s="21"/>
      <c r="C107" s="34"/>
      <c r="D107" s="566" t="str">
        <f>+'geg ll'!D183</f>
        <v>School 22</v>
      </c>
      <c r="E107" s="34"/>
      <c r="F107" s="34" t="str">
        <f>IF('geg ll'!F183=1,"categorie 1",IF('geg ll'!F183=2,"categorie 2","categorie 3"))</f>
        <v>categorie 1</v>
      </c>
      <c r="G107" s="70"/>
      <c r="H107" s="34"/>
      <c r="I107" s="526">
        <f>ROUND('geg ll'!G183*VLOOKUP($F107,categoriePersVSO,8,FALSE),2)</f>
        <v>0</v>
      </c>
      <c r="J107" s="526">
        <f>ROUND('geg ll'!G183*VLOOKUP($F107,categoriePersVSO,6,FALSE),2)</f>
        <v>0</v>
      </c>
      <c r="K107" s="526">
        <f>ROUND('geg ll'!H183*VLOOKUP($F107,categoriePersVSO,7,FALSE),2)</f>
        <v>0</v>
      </c>
      <c r="L107" s="526">
        <f>ROUND('geg ll'!I183*VLOOKUP($F107,categoriePersVSO,8,FALSE),2)</f>
        <v>0</v>
      </c>
      <c r="M107" s="526">
        <f>ROUND('geg ll'!J183*VLOOKUP($F107,categoriePersVSO,8,FALSE),2)</f>
        <v>0</v>
      </c>
      <c r="N107" s="526">
        <f>ROUND('geg ll'!K183*VLOOKUP($F107,categoriePersVSO,8,FALSE),2)</f>
        <v>0</v>
      </c>
      <c r="O107" s="526">
        <f>ROUND('geg ll'!L183*VLOOKUP($F107,categoriePersVSO,8,FALSE),2)</f>
        <v>0</v>
      </c>
      <c r="P107" s="34"/>
      <c r="Q107" s="25"/>
    </row>
    <row r="108" spans="2:17" x14ac:dyDescent="0.2">
      <c r="B108" s="21"/>
      <c r="C108" s="34"/>
      <c r="D108" s="187"/>
      <c r="E108" s="34"/>
      <c r="F108" s="34" t="str">
        <f>IF('geg ll'!F184=1,"categorie 1",IF('geg ll'!F184=2,"categorie 2","categorie 3"))</f>
        <v>categorie 2</v>
      </c>
      <c r="G108" s="70"/>
      <c r="H108" s="34"/>
      <c r="I108" s="526">
        <f>ROUND('geg ll'!G184*VLOOKUP($F108,categoriePersVSO,8,FALSE),2)</f>
        <v>0</v>
      </c>
      <c r="J108" s="526">
        <f>ROUND('geg ll'!G184*VLOOKUP($F108,categoriePersVSO,6,FALSE),2)</f>
        <v>0</v>
      </c>
      <c r="K108" s="526">
        <f>ROUND('geg ll'!H184*VLOOKUP($F108,categoriePersVSO,7,FALSE),2)</f>
        <v>0</v>
      </c>
      <c r="L108" s="526">
        <f>ROUND('geg ll'!I184*VLOOKUP($F108,categoriePersVSO,8,FALSE),2)</f>
        <v>0</v>
      </c>
      <c r="M108" s="526">
        <f>ROUND('geg ll'!J184*VLOOKUP($F108,categoriePersVSO,8,FALSE),2)</f>
        <v>0</v>
      </c>
      <c r="N108" s="526">
        <f>ROUND('geg ll'!K184*VLOOKUP($F108,categoriePersVSO,8,FALSE),2)</f>
        <v>0</v>
      </c>
      <c r="O108" s="526">
        <f>ROUND('geg ll'!L184*VLOOKUP($F108,categoriePersVSO,8,FALSE),2)</f>
        <v>0</v>
      </c>
      <c r="P108" s="34"/>
      <c r="Q108" s="25"/>
    </row>
    <row r="109" spans="2:17" x14ac:dyDescent="0.2">
      <c r="B109" s="21"/>
      <c r="C109" s="34"/>
      <c r="D109" s="187"/>
      <c r="E109" s="34"/>
      <c r="F109" s="34" t="str">
        <f>IF('geg ll'!F185=1,"categorie 1",IF('geg ll'!F185=2,"categorie 2","categorie 3"))</f>
        <v>categorie 3</v>
      </c>
      <c r="G109" s="70"/>
      <c r="H109" s="34"/>
      <c r="I109" s="526">
        <f>ROUND('geg ll'!G185*VLOOKUP($F109,categoriePersVSO,8,FALSE),2)</f>
        <v>0</v>
      </c>
      <c r="J109" s="526">
        <f>ROUND('geg ll'!G185*VLOOKUP($F109,categoriePersVSO,6,FALSE),2)</f>
        <v>0</v>
      </c>
      <c r="K109" s="526">
        <f>ROUND('geg ll'!H185*VLOOKUP($F109,categoriePersVSO,7,FALSE),2)</f>
        <v>0</v>
      </c>
      <c r="L109" s="526">
        <f>ROUND('geg ll'!I185*VLOOKUP($F109,categoriePersVSO,8,FALSE),2)</f>
        <v>0</v>
      </c>
      <c r="M109" s="526">
        <f>ROUND('geg ll'!J185*VLOOKUP($F109,categoriePersVSO,8,FALSE),2)</f>
        <v>0</v>
      </c>
      <c r="N109" s="526">
        <f>ROUND('geg ll'!K185*VLOOKUP($F109,categoriePersVSO,8,FALSE),2)</f>
        <v>0</v>
      </c>
      <c r="O109" s="526">
        <f>ROUND('geg ll'!L185*VLOOKUP($F109,categoriePersVSO,8,FALSE),2)</f>
        <v>0</v>
      </c>
      <c r="P109" s="34"/>
      <c r="Q109" s="25"/>
    </row>
    <row r="110" spans="2:17" x14ac:dyDescent="0.2">
      <c r="B110" s="21"/>
      <c r="C110" s="34"/>
      <c r="D110" s="566" t="str">
        <f>+'geg ll'!D187</f>
        <v>School 23</v>
      </c>
      <c r="E110" s="34"/>
      <c r="F110" s="34" t="str">
        <f>IF('geg ll'!F187=1,"categorie 1",IF('geg ll'!F187=2,"categorie 2","categorie 3"))</f>
        <v>categorie 1</v>
      </c>
      <c r="G110" s="70"/>
      <c r="H110" s="34"/>
      <c r="I110" s="526">
        <f>ROUND('geg ll'!G187*VLOOKUP($F110,categoriePersVSO,8,FALSE),2)</f>
        <v>0</v>
      </c>
      <c r="J110" s="526">
        <f>ROUND('geg ll'!G187*VLOOKUP($F110,categoriePersVSO,6,FALSE),2)</f>
        <v>0</v>
      </c>
      <c r="K110" s="526">
        <f>ROUND('geg ll'!H187*VLOOKUP($F110,categoriePersVSO,7,FALSE),2)</f>
        <v>0</v>
      </c>
      <c r="L110" s="526">
        <f>ROUND('geg ll'!I187*VLOOKUP($F110,categoriePersVSO,8,FALSE),2)</f>
        <v>0</v>
      </c>
      <c r="M110" s="526">
        <f>ROUND('geg ll'!J187*VLOOKUP($F110,categoriePersVSO,8,FALSE),2)</f>
        <v>0</v>
      </c>
      <c r="N110" s="526">
        <f>ROUND('geg ll'!K187*VLOOKUP($F110,categoriePersVSO,8,FALSE),2)</f>
        <v>0</v>
      </c>
      <c r="O110" s="526">
        <f>ROUND('geg ll'!L187*VLOOKUP($F110,categoriePersVSO,8,FALSE),2)</f>
        <v>0</v>
      </c>
      <c r="P110" s="34"/>
      <c r="Q110" s="25"/>
    </row>
    <row r="111" spans="2:17" x14ac:dyDescent="0.2">
      <c r="B111" s="21"/>
      <c r="C111" s="34"/>
      <c r="D111" s="187"/>
      <c r="E111" s="34"/>
      <c r="F111" s="34" t="str">
        <f>IF('geg ll'!F188=1,"categorie 1",IF('geg ll'!F188=2,"categorie 2","categorie 3"))</f>
        <v>categorie 2</v>
      </c>
      <c r="G111" s="70"/>
      <c r="H111" s="34"/>
      <c r="I111" s="526">
        <f>ROUND('geg ll'!G188*VLOOKUP($F111,categoriePersVSO,8,FALSE),2)</f>
        <v>0</v>
      </c>
      <c r="J111" s="526">
        <f>ROUND('geg ll'!G188*VLOOKUP($F111,categoriePersVSO,6,FALSE),2)</f>
        <v>0</v>
      </c>
      <c r="K111" s="526">
        <f>ROUND('geg ll'!H188*VLOOKUP($F111,categoriePersVSO,7,FALSE),2)</f>
        <v>0</v>
      </c>
      <c r="L111" s="526">
        <f>ROUND('geg ll'!I188*VLOOKUP($F111,categoriePersVSO,8,FALSE),2)</f>
        <v>0</v>
      </c>
      <c r="M111" s="526">
        <f>ROUND('geg ll'!J188*VLOOKUP($F111,categoriePersVSO,8,FALSE),2)</f>
        <v>0</v>
      </c>
      <c r="N111" s="526">
        <f>ROUND('geg ll'!K188*VLOOKUP($F111,categoriePersVSO,8,FALSE),2)</f>
        <v>0</v>
      </c>
      <c r="O111" s="526">
        <f>ROUND('geg ll'!L188*VLOOKUP($F111,categoriePersVSO,8,FALSE),2)</f>
        <v>0</v>
      </c>
      <c r="P111" s="34"/>
      <c r="Q111" s="25"/>
    </row>
    <row r="112" spans="2:17" x14ac:dyDescent="0.2">
      <c r="B112" s="21"/>
      <c r="C112" s="34"/>
      <c r="D112" s="187"/>
      <c r="E112" s="34"/>
      <c r="F112" s="34" t="str">
        <f>IF('geg ll'!F189=1,"categorie 1",IF('geg ll'!F189=2,"categorie 2","categorie 3"))</f>
        <v>categorie 3</v>
      </c>
      <c r="G112" s="70"/>
      <c r="H112" s="34"/>
      <c r="I112" s="526">
        <f>ROUND('geg ll'!G189*VLOOKUP($F112,categoriePersVSO,8,FALSE),2)</f>
        <v>0</v>
      </c>
      <c r="J112" s="526">
        <f>ROUND('geg ll'!G189*VLOOKUP($F112,categoriePersVSO,6,FALSE),2)</f>
        <v>0</v>
      </c>
      <c r="K112" s="526">
        <f>ROUND('geg ll'!H189*VLOOKUP($F112,categoriePersVSO,7,FALSE),2)</f>
        <v>0</v>
      </c>
      <c r="L112" s="526">
        <f>ROUND('geg ll'!I189*VLOOKUP($F112,categoriePersVSO,8,FALSE),2)</f>
        <v>0</v>
      </c>
      <c r="M112" s="526">
        <f>ROUND('geg ll'!J189*VLOOKUP($F112,categoriePersVSO,8,FALSE),2)</f>
        <v>0</v>
      </c>
      <c r="N112" s="526">
        <f>ROUND('geg ll'!K189*VLOOKUP($F112,categoriePersVSO,8,FALSE),2)</f>
        <v>0</v>
      </c>
      <c r="O112" s="526">
        <f>ROUND('geg ll'!L189*VLOOKUP($F112,categoriePersVSO,8,FALSE),2)</f>
        <v>0</v>
      </c>
      <c r="P112" s="34"/>
      <c r="Q112" s="25"/>
    </row>
    <row r="113" spans="2:17" x14ac:dyDescent="0.2">
      <c r="B113" s="21"/>
      <c r="C113" s="34"/>
      <c r="D113" s="566" t="str">
        <f>+'geg ll'!D191</f>
        <v>School 24</v>
      </c>
      <c r="E113" s="34"/>
      <c r="F113" s="34" t="str">
        <f>IF('geg ll'!F191=1,"categorie 1",IF('geg ll'!F191=2,"categorie 2","categorie 3"))</f>
        <v>categorie 1</v>
      </c>
      <c r="G113" s="70"/>
      <c r="H113" s="34"/>
      <c r="I113" s="526">
        <f>ROUND('geg ll'!G191*VLOOKUP($F113,categoriePersVSO,8,FALSE),2)</f>
        <v>0</v>
      </c>
      <c r="J113" s="526">
        <f>ROUND('geg ll'!G191*VLOOKUP($F113,categoriePersVSO,6,FALSE),2)</f>
        <v>0</v>
      </c>
      <c r="K113" s="526">
        <f>ROUND('geg ll'!H191*VLOOKUP($F113,categoriePersVSO,7,FALSE),2)</f>
        <v>0</v>
      </c>
      <c r="L113" s="526">
        <f>ROUND('geg ll'!I191*VLOOKUP($F113,categoriePersVSO,8,FALSE),2)</f>
        <v>0</v>
      </c>
      <c r="M113" s="526">
        <f>ROUND('geg ll'!J191*VLOOKUP($F113,categoriePersVSO,8,FALSE),2)</f>
        <v>0</v>
      </c>
      <c r="N113" s="526">
        <f>ROUND('geg ll'!K191*VLOOKUP($F113,categoriePersVSO,8,FALSE),2)</f>
        <v>0</v>
      </c>
      <c r="O113" s="526">
        <f>ROUND('geg ll'!L191*VLOOKUP($F113,categoriePersVSO,8,FALSE),2)</f>
        <v>0</v>
      </c>
      <c r="P113" s="34"/>
      <c r="Q113" s="25"/>
    </row>
    <row r="114" spans="2:17" x14ac:dyDescent="0.2">
      <c r="B114" s="21"/>
      <c r="C114" s="34"/>
      <c r="D114" s="187"/>
      <c r="E114" s="34"/>
      <c r="F114" s="34" t="str">
        <f>IF('geg ll'!F192=1,"categorie 1",IF('geg ll'!F192=2,"categorie 2","categorie 3"))</f>
        <v>categorie 2</v>
      </c>
      <c r="G114" s="70"/>
      <c r="H114" s="34"/>
      <c r="I114" s="526">
        <f>ROUND('geg ll'!G192*VLOOKUP($F114,categoriePersVSO,8,FALSE),2)</f>
        <v>0</v>
      </c>
      <c r="J114" s="526">
        <f>ROUND('geg ll'!G192*VLOOKUP($F114,categoriePersVSO,6,FALSE),2)</f>
        <v>0</v>
      </c>
      <c r="K114" s="526">
        <f>ROUND('geg ll'!H192*VLOOKUP($F114,categoriePersVSO,7,FALSE),2)</f>
        <v>0</v>
      </c>
      <c r="L114" s="526">
        <f>ROUND('geg ll'!I192*VLOOKUP($F114,categoriePersVSO,8,FALSE),2)</f>
        <v>0</v>
      </c>
      <c r="M114" s="526">
        <f>ROUND('geg ll'!J192*VLOOKUP($F114,categoriePersVSO,8,FALSE),2)</f>
        <v>0</v>
      </c>
      <c r="N114" s="526">
        <f>ROUND('geg ll'!K192*VLOOKUP($F114,categoriePersVSO,8,FALSE),2)</f>
        <v>0</v>
      </c>
      <c r="O114" s="526">
        <f>ROUND('geg ll'!L192*VLOOKUP($F114,categoriePersVSO,8,FALSE),2)</f>
        <v>0</v>
      </c>
      <c r="P114" s="34"/>
      <c r="Q114" s="25"/>
    </row>
    <row r="115" spans="2:17" x14ac:dyDescent="0.2">
      <c r="B115" s="21"/>
      <c r="C115" s="34"/>
      <c r="D115" s="187"/>
      <c r="E115" s="34"/>
      <c r="F115" s="34" t="str">
        <f>IF('geg ll'!F193=1,"categorie 1",IF('geg ll'!F193=2,"categorie 2","categorie 3"))</f>
        <v>categorie 3</v>
      </c>
      <c r="G115" s="70"/>
      <c r="H115" s="34"/>
      <c r="I115" s="526">
        <f>ROUND('geg ll'!G193*VLOOKUP($F115,categoriePersVSO,8,FALSE),2)</f>
        <v>0</v>
      </c>
      <c r="J115" s="526">
        <f>ROUND('geg ll'!G193*VLOOKUP($F115,categoriePersVSO,6,FALSE),2)</f>
        <v>0</v>
      </c>
      <c r="K115" s="526">
        <f>ROUND('geg ll'!H193*VLOOKUP($F115,categoriePersVSO,7,FALSE),2)</f>
        <v>0</v>
      </c>
      <c r="L115" s="526">
        <f>ROUND('geg ll'!I193*VLOOKUP($F115,categoriePersVSO,8,FALSE),2)</f>
        <v>0</v>
      </c>
      <c r="M115" s="526">
        <f>ROUND('geg ll'!J193*VLOOKUP($F115,categoriePersVSO,8,FALSE),2)</f>
        <v>0</v>
      </c>
      <c r="N115" s="526">
        <f>ROUND('geg ll'!K193*VLOOKUP($F115,categoriePersVSO,8,FALSE),2)</f>
        <v>0</v>
      </c>
      <c r="O115" s="526">
        <f>ROUND('geg ll'!L193*VLOOKUP($F115,categoriePersVSO,8,FALSE),2)</f>
        <v>0</v>
      </c>
      <c r="P115" s="34"/>
      <c r="Q115" s="25"/>
    </row>
    <row r="116" spans="2:17" x14ac:dyDescent="0.2">
      <c r="B116" s="21"/>
      <c r="C116" s="34"/>
      <c r="D116" s="566" t="str">
        <f>+'geg ll'!D195</f>
        <v>School 25</v>
      </c>
      <c r="E116" s="34"/>
      <c r="F116" s="34" t="str">
        <f>IF('geg ll'!F195=1,"categorie 1",IF('geg ll'!F195=2,"categorie 2","categorie 3"))</f>
        <v>categorie 1</v>
      </c>
      <c r="G116" s="70"/>
      <c r="H116" s="34"/>
      <c r="I116" s="526">
        <f>ROUND('geg ll'!G195*VLOOKUP($F115,categoriePersVSO,8,FALSE),2)</f>
        <v>0</v>
      </c>
      <c r="J116" s="526">
        <f>ROUND('geg ll'!G195*VLOOKUP($F115,categoriePersVSO,6,FALSE),2)</f>
        <v>0</v>
      </c>
      <c r="K116" s="526">
        <f>ROUND('geg ll'!H195*VLOOKUP($F115,categoriePersVSO,7,FALSE),2)</f>
        <v>0</v>
      </c>
      <c r="L116" s="526">
        <f>ROUND('geg ll'!I195*VLOOKUP($F115,categoriePersVSO,8,FALSE),2)</f>
        <v>0</v>
      </c>
      <c r="M116" s="526">
        <f>ROUND('geg ll'!J195*VLOOKUP($F115,categoriePersVSO,8,FALSE),2)</f>
        <v>0</v>
      </c>
      <c r="N116" s="526">
        <f>ROUND('geg ll'!K195*VLOOKUP($F115,categoriePersVSO,8,FALSE),2)</f>
        <v>0</v>
      </c>
      <c r="O116" s="526">
        <f>ROUND('geg ll'!L195*VLOOKUP($F115,categoriePersVSO,8,FALSE),2)</f>
        <v>0</v>
      </c>
      <c r="P116" s="34"/>
      <c r="Q116" s="25"/>
    </row>
    <row r="117" spans="2:17" x14ac:dyDescent="0.2">
      <c r="B117" s="21"/>
      <c r="C117" s="34"/>
      <c r="D117" s="187"/>
      <c r="E117" s="34"/>
      <c r="F117" s="34" t="str">
        <f>IF('geg ll'!F196=1,"categorie 1",IF('geg ll'!F196=2,"categorie 2","categorie 3"))</f>
        <v>categorie 2</v>
      </c>
      <c r="G117" s="70"/>
      <c r="H117" s="34"/>
      <c r="I117" s="526">
        <f>ROUND('geg ll'!G196*VLOOKUP($F117,categoriePersVSO,8,FALSE),2)</f>
        <v>0</v>
      </c>
      <c r="J117" s="526">
        <f>ROUND('geg ll'!G196*VLOOKUP($F117,categoriePersVSO,6,FALSE),2)</f>
        <v>0</v>
      </c>
      <c r="K117" s="526">
        <f>ROUND('geg ll'!H196*VLOOKUP($F117,categoriePersVSO,7,FALSE),2)</f>
        <v>0</v>
      </c>
      <c r="L117" s="526">
        <f>ROUND('geg ll'!I196*VLOOKUP($F117,categoriePersVSO,8,FALSE),2)</f>
        <v>0</v>
      </c>
      <c r="M117" s="526">
        <f>ROUND('geg ll'!J196*VLOOKUP($F117,categoriePersVSO,8,FALSE),2)</f>
        <v>0</v>
      </c>
      <c r="N117" s="526">
        <f>ROUND('geg ll'!K196*VLOOKUP($F117,categoriePersVSO,8,FALSE),2)</f>
        <v>0</v>
      </c>
      <c r="O117" s="526">
        <f>ROUND('geg ll'!L196*VLOOKUP($F117,categoriePersVSO,8,FALSE),2)</f>
        <v>0</v>
      </c>
      <c r="P117" s="34"/>
      <c r="Q117" s="25"/>
    </row>
    <row r="118" spans="2:17" x14ac:dyDescent="0.2">
      <c r="B118" s="21"/>
      <c r="C118" s="34"/>
      <c r="D118" s="187"/>
      <c r="E118" s="34"/>
      <c r="F118" s="34" t="str">
        <f>IF('geg ll'!F197=1,"categorie 1",IF('geg ll'!F197=2,"categorie 2","categorie 3"))</f>
        <v>categorie 3</v>
      </c>
      <c r="G118" s="70"/>
      <c r="H118" s="34"/>
      <c r="I118" s="526">
        <f>ROUND('geg ll'!G197*VLOOKUP($F118,categoriePersVSO,8,FALSE),2)</f>
        <v>0</v>
      </c>
      <c r="J118" s="526">
        <f>ROUND('geg ll'!G197*VLOOKUP($F118,categoriePersVSO,6,FALSE),2)</f>
        <v>0</v>
      </c>
      <c r="K118" s="526">
        <f>ROUND('geg ll'!H197*VLOOKUP($F118,categoriePersVSO,7,FALSE),2)</f>
        <v>0</v>
      </c>
      <c r="L118" s="526">
        <f>ROUND('geg ll'!I197*VLOOKUP($F118,categoriePersVSO,8,FALSE),2)</f>
        <v>0</v>
      </c>
      <c r="M118" s="526">
        <f>ROUND('geg ll'!J197*VLOOKUP($F118,categoriePersVSO,8,FALSE),2)</f>
        <v>0</v>
      </c>
      <c r="N118" s="526">
        <f>ROUND('geg ll'!K197*VLOOKUP($F118,categoriePersVSO,8,FALSE),2)</f>
        <v>0</v>
      </c>
      <c r="O118" s="526">
        <f>ROUND('geg ll'!L197*VLOOKUP($F118,categoriePersVSO,8,FALSE),2)</f>
        <v>0</v>
      </c>
      <c r="P118" s="34"/>
      <c r="Q118" s="25"/>
    </row>
    <row r="119" spans="2:17" x14ac:dyDescent="0.2">
      <c r="B119" s="21"/>
      <c r="C119" s="34"/>
      <c r="D119" s="566" t="str">
        <f>+'geg ll'!D199</f>
        <v>School 26</v>
      </c>
      <c r="E119" s="34"/>
      <c r="F119" s="34" t="str">
        <f>IF('geg ll'!F199=1,"categorie 1",IF('geg ll'!F199=2,"categorie 2","categorie 3"))</f>
        <v>categorie 1</v>
      </c>
      <c r="G119" s="70"/>
      <c r="H119" s="34"/>
      <c r="I119" s="526">
        <f>ROUND('geg ll'!G199*VLOOKUP($F119,categoriePersVSO,8,FALSE),2)</f>
        <v>0</v>
      </c>
      <c r="J119" s="526">
        <f>ROUND('geg ll'!G199*VLOOKUP($F119,categoriePersVSO,6,FALSE),2)</f>
        <v>0</v>
      </c>
      <c r="K119" s="526">
        <f>ROUND('geg ll'!H199*VLOOKUP($F119,categoriePersVSO,7,FALSE),2)</f>
        <v>0</v>
      </c>
      <c r="L119" s="526">
        <f>ROUND('geg ll'!I199*VLOOKUP($F119,categoriePersVSO,8,FALSE),2)</f>
        <v>0</v>
      </c>
      <c r="M119" s="526">
        <f>ROUND('geg ll'!J199*VLOOKUP($F119,categoriePersVSO,8,FALSE),2)</f>
        <v>0</v>
      </c>
      <c r="N119" s="526">
        <f>ROUND('geg ll'!K199*VLOOKUP($F119,categoriePersVSO,8,FALSE),2)</f>
        <v>0</v>
      </c>
      <c r="O119" s="526">
        <f>ROUND('geg ll'!L199*VLOOKUP($F119,categoriePersVSO,8,FALSE),2)</f>
        <v>0</v>
      </c>
      <c r="P119" s="34"/>
      <c r="Q119" s="25"/>
    </row>
    <row r="120" spans="2:17" x14ac:dyDescent="0.2">
      <c r="B120" s="21"/>
      <c r="C120" s="34"/>
      <c r="D120" s="187"/>
      <c r="E120" s="34"/>
      <c r="F120" s="34" t="str">
        <f>IF('geg ll'!F200=1,"categorie 1",IF('geg ll'!F200=2,"categorie 2","categorie 3"))</f>
        <v>categorie 2</v>
      </c>
      <c r="G120" s="70"/>
      <c r="H120" s="34"/>
      <c r="I120" s="526">
        <f>ROUND('geg ll'!G200*VLOOKUP($F120,categoriePersVSO,8,FALSE),2)</f>
        <v>0</v>
      </c>
      <c r="J120" s="526">
        <f>ROUND('geg ll'!G200*VLOOKUP($F120,categoriePersVSO,6,FALSE),2)</f>
        <v>0</v>
      </c>
      <c r="K120" s="526">
        <f>ROUND('geg ll'!H200*VLOOKUP($F120,categoriePersVSO,7,FALSE),2)</f>
        <v>0</v>
      </c>
      <c r="L120" s="526">
        <f>ROUND('geg ll'!I200*VLOOKUP($F120,categoriePersVSO,8,FALSE),2)</f>
        <v>0</v>
      </c>
      <c r="M120" s="526">
        <f>ROUND('geg ll'!J200*VLOOKUP($F120,categoriePersVSO,8,FALSE),2)</f>
        <v>0</v>
      </c>
      <c r="N120" s="526">
        <f>ROUND('geg ll'!K200*VLOOKUP($F120,categoriePersVSO,8,FALSE),2)</f>
        <v>0</v>
      </c>
      <c r="O120" s="526">
        <f>ROUND('geg ll'!L200*VLOOKUP($F120,categoriePersVSO,8,FALSE),2)</f>
        <v>0</v>
      </c>
      <c r="P120" s="34"/>
      <c r="Q120" s="25"/>
    </row>
    <row r="121" spans="2:17" x14ac:dyDescent="0.2">
      <c r="B121" s="21"/>
      <c r="C121" s="34"/>
      <c r="D121" s="187"/>
      <c r="E121" s="34"/>
      <c r="F121" s="34" t="str">
        <f>IF('geg ll'!F201=1,"categorie 1",IF('geg ll'!F201=2,"categorie 2","categorie 3"))</f>
        <v>categorie 3</v>
      </c>
      <c r="G121" s="70"/>
      <c r="H121" s="34"/>
      <c r="I121" s="526">
        <f>ROUND('geg ll'!G201*VLOOKUP($F121,categoriePersVSO,8,FALSE),2)</f>
        <v>0</v>
      </c>
      <c r="J121" s="526">
        <f>ROUND('geg ll'!G201*VLOOKUP($F121,categoriePersVSO,6,FALSE),2)</f>
        <v>0</v>
      </c>
      <c r="K121" s="526">
        <f>ROUND('geg ll'!H201*VLOOKUP($F121,categoriePersVSO,7,FALSE),2)</f>
        <v>0</v>
      </c>
      <c r="L121" s="526">
        <f>ROUND('geg ll'!I201*VLOOKUP($F121,categoriePersVSO,8,FALSE),2)</f>
        <v>0</v>
      </c>
      <c r="M121" s="526">
        <f>ROUND('geg ll'!J201*VLOOKUP($F121,categoriePersVSO,8,FALSE),2)</f>
        <v>0</v>
      </c>
      <c r="N121" s="526">
        <f>ROUND('geg ll'!K201*VLOOKUP($F121,categoriePersVSO,8,FALSE),2)</f>
        <v>0</v>
      </c>
      <c r="O121" s="526">
        <f>ROUND('geg ll'!L201*VLOOKUP($F121,categoriePersVSO,8,FALSE),2)</f>
        <v>0</v>
      </c>
      <c r="P121" s="34"/>
      <c r="Q121" s="25"/>
    </row>
    <row r="122" spans="2:17" x14ac:dyDescent="0.2">
      <c r="B122" s="21"/>
      <c r="C122" s="34"/>
      <c r="D122" s="566" t="str">
        <f>+'geg ll'!D203</f>
        <v>School 27</v>
      </c>
      <c r="E122" s="34"/>
      <c r="F122" s="34" t="str">
        <f>IF('geg ll'!F203=1,"categorie 1",IF('geg ll'!F203=2,"categorie 2","categorie 3"))</f>
        <v>categorie 1</v>
      </c>
      <c r="G122" s="70"/>
      <c r="H122" s="34"/>
      <c r="I122" s="526">
        <f>ROUND('geg ll'!G203*VLOOKUP($F122,categoriePersVSO,8,FALSE),2)</f>
        <v>0</v>
      </c>
      <c r="J122" s="526">
        <f>ROUND('geg ll'!G203*VLOOKUP($F122,categoriePersVSO,6,FALSE),2)</f>
        <v>0</v>
      </c>
      <c r="K122" s="526">
        <f>ROUND('geg ll'!H203*VLOOKUP($F122,categoriePersVSO,7,FALSE),2)</f>
        <v>0</v>
      </c>
      <c r="L122" s="526">
        <f>ROUND('geg ll'!I203*VLOOKUP($F122,categoriePersVSO,8,FALSE),2)</f>
        <v>0</v>
      </c>
      <c r="M122" s="526">
        <f>ROUND('geg ll'!J203*VLOOKUP($F122,categoriePersVSO,8,FALSE),2)</f>
        <v>0</v>
      </c>
      <c r="N122" s="526">
        <f>ROUND('geg ll'!K203*VLOOKUP($F122,categoriePersVSO,8,FALSE),2)</f>
        <v>0</v>
      </c>
      <c r="O122" s="526">
        <f>ROUND('geg ll'!L203*VLOOKUP($F122,categoriePersVSO,8,FALSE),2)</f>
        <v>0</v>
      </c>
      <c r="P122" s="34"/>
      <c r="Q122" s="25"/>
    </row>
    <row r="123" spans="2:17" x14ac:dyDescent="0.2">
      <c r="B123" s="21"/>
      <c r="C123" s="34"/>
      <c r="D123" s="187"/>
      <c r="E123" s="34"/>
      <c r="F123" s="34" t="str">
        <f>IF('geg ll'!F204=1,"categorie 1",IF('geg ll'!F204=2,"categorie 2","categorie 3"))</f>
        <v>categorie 2</v>
      </c>
      <c r="G123" s="70"/>
      <c r="H123" s="34"/>
      <c r="I123" s="526">
        <f>ROUND('geg ll'!G204*VLOOKUP($F123,categoriePersVSO,8,FALSE),2)</f>
        <v>0</v>
      </c>
      <c r="J123" s="526">
        <f>ROUND('geg ll'!G204*VLOOKUP($F123,categoriePersVSO,6,FALSE),2)</f>
        <v>0</v>
      </c>
      <c r="K123" s="526">
        <f>ROUND('geg ll'!H204*VLOOKUP($F123,categoriePersVSO,7,FALSE),2)</f>
        <v>0</v>
      </c>
      <c r="L123" s="526">
        <f>ROUND('geg ll'!I204*VLOOKUP($F123,categoriePersVSO,8,FALSE),2)</f>
        <v>0</v>
      </c>
      <c r="M123" s="526">
        <f>ROUND('geg ll'!J204*VLOOKUP($F123,categoriePersVSO,8,FALSE),2)</f>
        <v>0</v>
      </c>
      <c r="N123" s="526">
        <f>ROUND('geg ll'!K204*VLOOKUP($F123,categoriePersVSO,8,FALSE),2)</f>
        <v>0</v>
      </c>
      <c r="O123" s="526">
        <f>ROUND('geg ll'!L204*VLOOKUP($F123,categoriePersVSO,8,FALSE),2)</f>
        <v>0</v>
      </c>
      <c r="P123" s="34"/>
      <c r="Q123" s="25"/>
    </row>
    <row r="124" spans="2:17" x14ac:dyDescent="0.2">
      <c r="B124" s="21"/>
      <c r="C124" s="34"/>
      <c r="D124" s="187"/>
      <c r="E124" s="34"/>
      <c r="F124" s="34" t="str">
        <f>IF('geg ll'!F205=1,"categorie 1",IF('geg ll'!F205=2,"categorie 2","categorie 3"))</f>
        <v>categorie 3</v>
      </c>
      <c r="G124" s="70"/>
      <c r="H124" s="34"/>
      <c r="I124" s="526">
        <f>ROUND('geg ll'!G205*VLOOKUP($F124,categoriePersVSO,8,FALSE),2)</f>
        <v>0</v>
      </c>
      <c r="J124" s="526">
        <f>ROUND('geg ll'!G205*VLOOKUP($F124,categoriePersVSO,6,FALSE),2)</f>
        <v>0</v>
      </c>
      <c r="K124" s="526">
        <f>ROUND('geg ll'!H205*VLOOKUP($F124,categoriePersVSO,7,FALSE),2)</f>
        <v>0</v>
      </c>
      <c r="L124" s="526">
        <f>ROUND('geg ll'!I205*VLOOKUP($F124,categoriePersVSO,8,FALSE),2)</f>
        <v>0</v>
      </c>
      <c r="M124" s="526">
        <f>ROUND('geg ll'!J205*VLOOKUP($F124,categoriePersVSO,8,FALSE),2)</f>
        <v>0</v>
      </c>
      <c r="N124" s="526">
        <f>ROUND('geg ll'!K205*VLOOKUP($F124,categoriePersVSO,8,FALSE),2)</f>
        <v>0</v>
      </c>
      <c r="O124" s="526">
        <f>ROUND('geg ll'!L205*VLOOKUP($F124,categoriePersVSO,8,FALSE),2)</f>
        <v>0</v>
      </c>
      <c r="P124" s="34"/>
      <c r="Q124" s="25"/>
    </row>
    <row r="125" spans="2:17" x14ac:dyDescent="0.2">
      <c r="B125" s="21"/>
      <c r="C125" s="34"/>
      <c r="D125" s="566" t="str">
        <f>+'geg ll'!D207</f>
        <v>School 28</v>
      </c>
      <c r="E125" s="34"/>
      <c r="F125" s="34" t="str">
        <f>IF('geg ll'!F207=1,"categorie 1",IF('geg ll'!F207=2,"categorie 2","categorie 3"))</f>
        <v>categorie 1</v>
      </c>
      <c r="G125" s="70"/>
      <c r="H125" s="34"/>
      <c r="I125" s="526">
        <f>ROUND('geg ll'!G207*VLOOKUP($F125,categoriePersVSO,8,FALSE),2)</f>
        <v>0</v>
      </c>
      <c r="J125" s="526">
        <f>ROUND('geg ll'!G207*VLOOKUP($F125,categoriePersVSO,6,FALSE),2)</f>
        <v>0</v>
      </c>
      <c r="K125" s="526">
        <f>ROUND('geg ll'!H207*VLOOKUP($F125,categoriePersVSO,7,FALSE),2)</f>
        <v>0</v>
      </c>
      <c r="L125" s="526">
        <f>ROUND('geg ll'!I207*VLOOKUP($F125,categoriePersVSO,8,FALSE),2)</f>
        <v>0</v>
      </c>
      <c r="M125" s="526">
        <f>ROUND('geg ll'!J207*VLOOKUP($F125,categoriePersVSO,8,FALSE),2)</f>
        <v>0</v>
      </c>
      <c r="N125" s="526">
        <f>ROUND('geg ll'!K207*VLOOKUP($F125,categoriePersVSO,8,FALSE),2)</f>
        <v>0</v>
      </c>
      <c r="O125" s="526">
        <f>ROUND('geg ll'!L207*VLOOKUP($F125,categoriePersVSO,8,FALSE),2)</f>
        <v>0</v>
      </c>
      <c r="P125" s="34"/>
      <c r="Q125" s="25"/>
    </row>
    <row r="126" spans="2:17" x14ac:dyDescent="0.2">
      <c r="B126" s="21"/>
      <c r="C126" s="34"/>
      <c r="D126" s="187"/>
      <c r="E126" s="34"/>
      <c r="F126" s="34" t="str">
        <f>IF('geg ll'!F208=1,"categorie 1",IF('geg ll'!F208=2,"categorie 2","categorie 3"))</f>
        <v>categorie 2</v>
      </c>
      <c r="G126" s="70"/>
      <c r="H126" s="34"/>
      <c r="I126" s="526">
        <f>ROUND('geg ll'!G208*VLOOKUP($F125,categoriePersVSO,8,FALSE),2)</f>
        <v>0</v>
      </c>
      <c r="J126" s="526">
        <f>ROUND('geg ll'!G208*VLOOKUP($F125,categoriePersVSO,6,FALSE),2)</f>
        <v>0</v>
      </c>
      <c r="K126" s="526">
        <f>ROUND('geg ll'!H208*VLOOKUP($F125,categoriePersVSO,7,FALSE),2)</f>
        <v>0</v>
      </c>
      <c r="L126" s="526">
        <f>ROUND('geg ll'!I208*VLOOKUP($F125,categoriePersVSO,8,FALSE),2)</f>
        <v>0</v>
      </c>
      <c r="M126" s="526">
        <f>ROUND('geg ll'!J208*VLOOKUP($F125,categoriePersVSO,8,FALSE),2)</f>
        <v>0</v>
      </c>
      <c r="N126" s="526">
        <f>ROUND('geg ll'!K208*VLOOKUP($F125,categoriePersVSO,8,FALSE),2)</f>
        <v>0</v>
      </c>
      <c r="O126" s="526">
        <f>ROUND('geg ll'!L208*VLOOKUP($F125,categoriePersVSO,8,FALSE),2)</f>
        <v>0</v>
      </c>
      <c r="P126" s="34"/>
      <c r="Q126" s="25"/>
    </row>
    <row r="127" spans="2:17" x14ac:dyDescent="0.2">
      <c r="B127" s="21"/>
      <c r="C127" s="34"/>
      <c r="D127" s="187"/>
      <c r="E127" s="34"/>
      <c r="F127" s="34" t="str">
        <f>IF('geg ll'!F209=1,"categorie 1",IF('geg ll'!F209=2,"categorie 2","categorie 3"))</f>
        <v>categorie 3</v>
      </c>
      <c r="G127" s="70"/>
      <c r="H127" s="34"/>
      <c r="I127" s="526">
        <f>ROUND('geg ll'!G209*VLOOKUP($F127,categoriePersVSO,8,FALSE),2)</f>
        <v>0</v>
      </c>
      <c r="J127" s="526">
        <f>ROUND('geg ll'!G209*VLOOKUP($F127,categoriePersVSO,6,FALSE),2)</f>
        <v>0</v>
      </c>
      <c r="K127" s="526">
        <f>ROUND('geg ll'!H209*VLOOKUP($F127,categoriePersVSO,7,FALSE),2)</f>
        <v>0</v>
      </c>
      <c r="L127" s="526">
        <f>ROUND('geg ll'!I209*VLOOKUP($F127,categoriePersVSO,8,FALSE),2)</f>
        <v>0</v>
      </c>
      <c r="M127" s="526">
        <f>ROUND('geg ll'!J209*VLOOKUP($F127,categoriePersVSO,8,FALSE),2)</f>
        <v>0</v>
      </c>
      <c r="N127" s="526">
        <f>ROUND('geg ll'!K209*VLOOKUP($F127,categoriePersVSO,8,FALSE),2)</f>
        <v>0</v>
      </c>
      <c r="O127" s="526">
        <f>ROUND('geg ll'!L209*VLOOKUP($F127,categoriePersVSO,8,FALSE),2)</f>
        <v>0</v>
      </c>
      <c r="P127" s="34"/>
      <c r="Q127" s="25"/>
    </row>
    <row r="128" spans="2:17" x14ac:dyDescent="0.2">
      <c r="B128" s="21"/>
      <c r="C128" s="34"/>
      <c r="D128" s="566" t="str">
        <f>+'geg ll'!D211</f>
        <v>School 29</v>
      </c>
      <c r="E128" s="34"/>
      <c r="F128" s="34" t="str">
        <f>IF('geg ll'!F211=1,"categorie 1",IF('geg ll'!F211=2,"categorie 2","categorie 3"))</f>
        <v>categorie 1</v>
      </c>
      <c r="G128" s="70"/>
      <c r="H128" s="34"/>
      <c r="I128" s="526">
        <f>ROUND('geg ll'!G211*VLOOKUP($F128,categoriePersVSO,8,FALSE),2)</f>
        <v>0</v>
      </c>
      <c r="J128" s="526">
        <f>ROUND('geg ll'!G211*VLOOKUP($F128,categoriePersVSO,6,FALSE),2)</f>
        <v>0</v>
      </c>
      <c r="K128" s="526">
        <f>ROUND('geg ll'!H211*VLOOKUP($F128,categoriePersVSO,7,FALSE),2)</f>
        <v>0</v>
      </c>
      <c r="L128" s="526">
        <f>ROUND('geg ll'!I211*VLOOKUP($F128,categoriePersVSO,8,FALSE),2)</f>
        <v>0</v>
      </c>
      <c r="M128" s="526">
        <f>ROUND('geg ll'!J211*VLOOKUP($F128,categoriePersVSO,8,FALSE),2)</f>
        <v>0</v>
      </c>
      <c r="N128" s="526">
        <f>ROUND('geg ll'!K211*VLOOKUP($F128,categoriePersVSO,8,FALSE),2)</f>
        <v>0</v>
      </c>
      <c r="O128" s="526">
        <f>ROUND('geg ll'!L211*VLOOKUP($F128,categoriePersVSO,8,FALSE),2)</f>
        <v>0</v>
      </c>
      <c r="P128" s="34"/>
      <c r="Q128" s="25"/>
    </row>
    <row r="129" spans="2:17" x14ac:dyDescent="0.2">
      <c r="B129" s="21"/>
      <c r="C129" s="34"/>
      <c r="D129" s="187"/>
      <c r="E129" s="34"/>
      <c r="F129" s="34" t="str">
        <f>IF('geg ll'!F212=1,"categorie 1",IF('geg ll'!F212=2,"categorie 2","categorie 3"))</f>
        <v>categorie 2</v>
      </c>
      <c r="G129" s="70"/>
      <c r="H129" s="34"/>
      <c r="I129" s="526">
        <f>ROUND('geg ll'!G212*VLOOKUP($F129,categoriePersVSO,8,FALSE),2)</f>
        <v>0</v>
      </c>
      <c r="J129" s="526">
        <f>ROUND('geg ll'!G212*VLOOKUP($F129,categoriePersVSO,6,FALSE),2)</f>
        <v>0</v>
      </c>
      <c r="K129" s="526">
        <f>ROUND('geg ll'!H212*VLOOKUP($F129,categoriePersVSO,7,FALSE),2)</f>
        <v>0</v>
      </c>
      <c r="L129" s="526">
        <f>ROUND('geg ll'!I212*VLOOKUP($F129,categoriePersVSO,8,FALSE),2)</f>
        <v>0</v>
      </c>
      <c r="M129" s="526">
        <f>ROUND('geg ll'!J212*VLOOKUP($F129,categoriePersVSO,8,FALSE),2)</f>
        <v>0</v>
      </c>
      <c r="N129" s="526">
        <f>ROUND('geg ll'!K212*VLOOKUP($F129,categoriePersVSO,8,FALSE),2)</f>
        <v>0</v>
      </c>
      <c r="O129" s="526">
        <f>ROUND('geg ll'!L212*VLOOKUP($F129,categoriePersVSO,8,FALSE),2)</f>
        <v>0</v>
      </c>
      <c r="P129" s="34"/>
      <c r="Q129" s="25"/>
    </row>
    <row r="130" spans="2:17" x14ac:dyDescent="0.2">
      <c r="B130" s="21"/>
      <c r="C130" s="34"/>
      <c r="D130" s="187"/>
      <c r="E130" s="34"/>
      <c r="F130" s="34" t="str">
        <f>IF('geg ll'!F213=1,"categorie 1",IF('geg ll'!F213=2,"categorie 2","categorie 3"))</f>
        <v>categorie 3</v>
      </c>
      <c r="G130" s="70"/>
      <c r="H130" s="34"/>
      <c r="I130" s="526">
        <f>ROUND('geg ll'!G213*VLOOKUP($F130,categoriePersVSO,8,FALSE),2)</f>
        <v>0</v>
      </c>
      <c r="J130" s="526">
        <f>ROUND('geg ll'!G213*VLOOKUP($F130,categoriePersVSO,6,FALSE),2)</f>
        <v>0</v>
      </c>
      <c r="K130" s="526">
        <f>ROUND('geg ll'!H213*VLOOKUP($F130,categoriePersVSO,7,FALSE),2)</f>
        <v>0</v>
      </c>
      <c r="L130" s="526">
        <f>ROUND('geg ll'!I213*VLOOKUP($F130,categoriePersVSO,8,FALSE),2)</f>
        <v>0</v>
      </c>
      <c r="M130" s="526">
        <f>ROUND('geg ll'!J213*VLOOKUP($F130,categoriePersVSO,8,FALSE),2)</f>
        <v>0</v>
      </c>
      <c r="N130" s="526">
        <f>ROUND('geg ll'!K213*VLOOKUP($F130,categoriePersVSO,8,FALSE),2)</f>
        <v>0</v>
      </c>
      <c r="O130" s="526">
        <f>ROUND('geg ll'!L213*VLOOKUP($F130,categoriePersVSO,8,FALSE),2)</f>
        <v>0</v>
      </c>
      <c r="P130" s="34"/>
      <c r="Q130" s="25"/>
    </row>
    <row r="131" spans="2:17" x14ac:dyDescent="0.2">
      <c r="B131" s="21"/>
      <c r="C131" s="34"/>
      <c r="D131" s="566" t="str">
        <f>+'geg ll'!D215</f>
        <v>School 30</v>
      </c>
      <c r="E131" s="34"/>
      <c r="F131" s="34" t="str">
        <f>IF('geg ll'!F215=1,"categorie 1",IF('geg ll'!F215=2,"categorie 2","categorie 3"))</f>
        <v>categorie 1</v>
      </c>
      <c r="G131" s="70"/>
      <c r="H131" s="34"/>
      <c r="I131" s="526">
        <f>ROUND('geg ll'!G215*VLOOKUP($F131,categoriePersVSO,8,FALSE),2)</f>
        <v>0</v>
      </c>
      <c r="J131" s="526">
        <f>ROUND('geg ll'!G215*VLOOKUP($F131,categoriePersVSO,6,FALSE),2)</f>
        <v>0</v>
      </c>
      <c r="K131" s="526">
        <f>ROUND('geg ll'!H215*VLOOKUP($F131,categoriePersVSO,7,FALSE),2)</f>
        <v>0</v>
      </c>
      <c r="L131" s="526">
        <f>ROUND('geg ll'!I215*VLOOKUP($F131,categoriePersVSO,8,FALSE),2)</f>
        <v>0</v>
      </c>
      <c r="M131" s="526">
        <f>ROUND('geg ll'!J215*VLOOKUP($F131,categoriePersVSO,8,FALSE),2)</f>
        <v>0</v>
      </c>
      <c r="N131" s="526">
        <f>ROUND('geg ll'!K215*VLOOKUP($F131,categoriePersVSO,8,FALSE),2)</f>
        <v>0</v>
      </c>
      <c r="O131" s="526">
        <f>ROUND('geg ll'!L215*VLOOKUP($F131,categoriePersVSO,8,FALSE),2)</f>
        <v>0</v>
      </c>
      <c r="P131" s="34"/>
      <c r="Q131" s="25"/>
    </row>
    <row r="132" spans="2:17" x14ac:dyDescent="0.2">
      <c r="B132" s="21"/>
      <c r="C132" s="34"/>
      <c r="D132" s="187"/>
      <c r="E132" s="34"/>
      <c r="F132" s="34" t="str">
        <f>IF('geg ll'!F216=1,"categorie 1",IF('geg ll'!F216=2,"categorie 2","categorie 3"))</f>
        <v>categorie 2</v>
      </c>
      <c r="G132" s="70"/>
      <c r="H132" s="34"/>
      <c r="I132" s="526">
        <f>ROUND('geg ll'!G216*VLOOKUP($F132,categoriePersVSO,8,FALSE),2)</f>
        <v>0</v>
      </c>
      <c r="J132" s="526">
        <f>ROUND('geg ll'!G216*VLOOKUP($F132,categoriePersVSO,6,FALSE),2)</f>
        <v>0</v>
      </c>
      <c r="K132" s="526">
        <f>ROUND('geg ll'!H216*VLOOKUP($F132,categoriePersVSO,7,FALSE),2)</f>
        <v>0</v>
      </c>
      <c r="L132" s="526">
        <f>ROUND('geg ll'!I216*VLOOKUP($F132,categoriePersVSO,8,FALSE),2)</f>
        <v>0</v>
      </c>
      <c r="M132" s="526">
        <f>ROUND('geg ll'!J216*VLOOKUP($F132,categoriePersVSO,8,FALSE),2)</f>
        <v>0</v>
      </c>
      <c r="N132" s="526">
        <f>ROUND('geg ll'!K216*VLOOKUP($F132,categoriePersVSO,8,FALSE),2)</f>
        <v>0</v>
      </c>
      <c r="O132" s="526">
        <f>ROUND('geg ll'!L216*VLOOKUP($F132,categoriePersVSO,8,FALSE),2)</f>
        <v>0</v>
      </c>
      <c r="P132" s="34"/>
      <c r="Q132" s="25"/>
    </row>
    <row r="133" spans="2:17" x14ac:dyDescent="0.2">
      <c r="B133" s="21"/>
      <c r="C133" s="34"/>
      <c r="D133" s="187"/>
      <c r="E133" s="34"/>
      <c r="F133" s="34" t="str">
        <f>IF('geg ll'!F217=1,"categorie 1",IF('geg ll'!F217=2,"categorie 2","categorie 3"))</f>
        <v>categorie 3</v>
      </c>
      <c r="G133" s="70"/>
      <c r="H133" s="34"/>
      <c r="I133" s="526">
        <f>ROUND('geg ll'!G217*VLOOKUP($F133,categoriePersVSO,8,FALSE),2)</f>
        <v>0</v>
      </c>
      <c r="J133" s="526">
        <f>ROUND('geg ll'!G217*VLOOKUP($F133,categoriePersVSO,6,FALSE),2)</f>
        <v>0</v>
      </c>
      <c r="K133" s="526">
        <f>ROUND('geg ll'!H217*VLOOKUP($F133,categoriePersVSO,7,FALSE),2)</f>
        <v>0</v>
      </c>
      <c r="L133" s="526">
        <f>ROUND('geg ll'!I217*VLOOKUP($F133,categoriePersVSO,8,FALSE),2)</f>
        <v>0</v>
      </c>
      <c r="M133" s="526">
        <f>ROUND('geg ll'!J217*VLOOKUP($F133,categoriePersVSO,8,FALSE),2)</f>
        <v>0</v>
      </c>
      <c r="N133" s="526">
        <f>ROUND('geg ll'!K217*VLOOKUP($F133,categoriePersVSO,8,FALSE),2)</f>
        <v>0</v>
      </c>
      <c r="O133" s="526">
        <f>ROUND('geg ll'!L217*VLOOKUP($F133,categoriePersVSO,8,FALSE),2)</f>
        <v>0</v>
      </c>
      <c r="P133" s="34"/>
      <c r="Q133" s="25"/>
    </row>
    <row r="134" spans="2:17" x14ac:dyDescent="0.2">
      <c r="B134" s="21"/>
      <c r="C134" s="34"/>
      <c r="D134" s="566" t="str">
        <f>+'geg ll'!D219</f>
        <v>School 31</v>
      </c>
      <c r="E134" s="34"/>
      <c r="F134" s="34" t="str">
        <f>IF('geg ll'!F219=1,"categorie 1",IF('geg ll'!F219=2,"categorie 2","categorie 3"))</f>
        <v>categorie 1</v>
      </c>
      <c r="G134" s="70"/>
      <c r="H134" s="34"/>
      <c r="I134" s="526">
        <f>ROUND('geg ll'!G219*VLOOKUP($F134,categoriePersVSO,8,FALSE),2)</f>
        <v>0</v>
      </c>
      <c r="J134" s="526">
        <f>ROUND('geg ll'!G219*VLOOKUP($F134,categoriePersVSO,6,FALSE),2)</f>
        <v>0</v>
      </c>
      <c r="K134" s="526">
        <f>ROUND('geg ll'!H219*VLOOKUP($F134,categoriePersVSO,7,FALSE),2)</f>
        <v>0</v>
      </c>
      <c r="L134" s="526">
        <f>ROUND('geg ll'!I219*VLOOKUP($F134,categoriePersVSO,8,FALSE),2)</f>
        <v>0</v>
      </c>
      <c r="M134" s="526">
        <f>ROUND('geg ll'!J219*VLOOKUP($F134,categoriePersVSO,8,FALSE),2)</f>
        <v>0</v>
      </c>
      <c r="N134" s="526">
        <f>ROUND('geg ll'!K219*VLOOKUP($F134,categoriePersVSO,8,FALSE),2)</f>
        <v>0</v>
      </c>
      <c r="O134" s="526">
        <f>ROUND('geg ll'!L219*VLOOKUP($F134,categoriePersVSO,8,FALSE),2)</f>
        <v>0</v>
      </c>
      <c r="P134" s="34"/>
      <c r="Q134" s="25"/>
    </row>
    <row r="135" spans="2:17" x14ac:dyDescent="0.2">
      <c r="B135" s="21"/>
      <c r="C135" s="34"/>
      <c r="D135" s="187"/>
      <c r="E135" s="34"/>
      <c r="F135" s="34" t="str">
        <f>IF('geg ll'!F220=1,"categorie 1",IF('geg ll'!F220=2,"categorie 2","categorie 3"))</f>
        <v>categorie 2</v>
      </c>
      <c r="G135" s="70"/>
      <c r="H135" s="34"/>
      <c r="I135" s="526">
        <f>ROUND('geg ll'!G220*VLOOKUP($F135,categoriePersVSO,8,FALSE),2)</f>
        <v>0</v>
      </c>
      <c r="J135" s="526">
        <f>ROUND('geg ll'!G220*VLOOKUP($F135,categoriePersVSO,6,FALSE),2)</f>
        <v>0</v>
      </c>
      <c r="K135" s="526">
        <f>ROUND('geg ll'!H220*VLOOKUP($F135,categoriePersVSO,7,FALSE),2)</f>
        <v>0</v>
      </c>
      <c r="L135" s="526">
        <f>ROUND('geg ll'!I220*VLOOKUP($F135,categoriePersVSO,8,FALSE),2)</f>
        <v>0</v>
      </c>
      <c r="M135" s="526">
        <f>ROUND('geg ll'!J220*VLOOKUP($F135,categoriePersVSO,8,FALSE),2)</f>
        <v>0</v>
      </c>
      <c r="N135" s="526">
        <f>ROUND('geg ll'!K220*VLOOKUP($F135,categoriePersVSO,8,FALSE),2)</f>
        <v>0</v>
      </c>
      <c r="O135" s="526">
        <f>ROUND('geg ll'!L220*VLOOKUP($F135,categoriePersVSO,8,FALSE),2)</f>
        <v>0</v>
      </c>
      <c r="P135" s="34"/>
      <c r="Q135" s="25"/>
    </row>
    <row r="136" spans="2:17" x14ac:dyDescent="0.2">
      <c r="B136" s="21"/>
      <c r="C136" s="34"/>
      <c r="D136" s="187"/>
      <c r="E136" s="34"/>
      <c r="F136" s="34" t="str">
        <f>IF('geg ll'!F221=1,"categorie 1",IF('geg ll'!F221=2,"categorie 2","categorie 3"))</f>
        <v>categorie 3</v>
      </c>
      <c r="G136" s="70"/>
      <c r="H136" s="34"/>
      <c r="I136" s="526">
        <f>ROUND('geg ll'!G221*VLOOKUP($F135,categoriePersVSO,8,FALSE),2)</f>
        <v>0</v>
      </c>
      <c r="J136" s="526">
        <f>ROUND('geg ll'!G221*VLOOKUP($F135,categoriePersVSO,6,FALSE),2)</f>
        <v>0</v>
      </c>
      <c r="K136" s="526">
        <f>ROUND('geg ll'!H221*VLOOKUP($F135,categoriePersVSO,7,FALSE),2)</f>
        <v>0</v>
      </c>
      <c r="L136" s="526">
        <f>ROUND('geg ll'!I221*VLOOKUP($F135,categoriePersVSO,8,FALSE),2)</f>
        <v>0</v>
      </c>
      <c r="M136" s="526">
        <f>ROUND('geg ll'!J221*VLOOKUP($F135,categoriePersVSO,8,FALSE),2)</f>
        <v>0</v>
      </c>
      <c r="N136" s="526">
        <f>ROUND('geg ll'!K221*VLOOKUP($F135,categoriePersVSO,8,FALSE),2)</f>
        <v>0</v>
      </c>
      <c r="O136" s="526">
        <f>ROUND('geg ll'!L221*VLOOKUP($F135,categoriePersVSO,8,FALSE),2)</f>
        <v>0</v>
      </c>
      <c r="P136" s="34"/>
      <c r="Q136" s="25"/>
    </row>
    <row r="137" spans="2:17" x14ac:dyDescent="0.2">
      <c r="B137" s="21"/>
      <c r="C137" s="34"/>
      <c r="D137" s="566" t="str">
        <f>+'geg ll'!D223</f>
        <v>School 32</v>
      </c>
      <c r="E137" s="34"/>
      <c r="F137" s="34" t="str">
        <f>IF('geg ll'!F223=1,"categorie 1",IF('geg ll'!F223=2,"categorie 2","categorie 3"))</f>
        <v>categorie 1</v>
      </c>
      <c r="G137" s="70"/>
      <c r="H137" s="34"/>
      <c r="I137" s="526">
        <f>ROUND('geg ll'!G223*VLOOKUP($F137,categoriePersVSO,8,FALSE),2)</f>
        <v>0</v>
      </c>
      <c r="J137" s="526">
        <f>ROUND('geg ll'!G223*VLOOKUP($F137,categoriePersVSO,6,FALSE),2)</f>
        <v>0</v>
      </c>
      <c r="K137" s="526">
        <f>ROUND('geg ll'!H223*VLOOKUP($F137,categoriePersVSO,7,FALSE),2)</f>
        <v>0</v>
      </c>
      <c r="L137" s="526">
        <f>ROUND('geg ll'!I223*VLOOKUP($F137,categoriePersVSO,8,FALSE),2)</f>
        <v>0</v>
      </c>
      <c r="M137" s="526">
        <f>ROUND('geg ll'!J223*VLOOKUP($F137,categoriePersVSO,8,FALSE),2)</f>
        <v>0</v>
      </c>
      <c r="N137" s="526">
        <f>ROUND('geg ll'!K223*VLOOKUP($F137,categoriePersVSO,8,FALSE),2)</f>
        <v>0</v>
      </c>
      <c r="O137" s="526">
        <f>ROUND('geg ll'!L223*VLOOKUP($F137,categoriePersVSO,8,FALSE),2)</f>
        <v>0</v>
      </c>
      <c r="P137" s="34"/>
      <c r="Q137" s="25"/>
    </row>
    <row r="138" spans="2:17" x14ac:dyDescent="0.2">
      <c r="B138" s="21"/>
      <c r="C138" s="34"/>
      <c r="D138" s="187"/>
      <c r="E138" s="34"/>
      <c r="F138" s="34" t="str">
        <f>IF('geg ll'!F224=1,"categorie 1",IF('geg ll'!F224=2,"categorie 2","categorie 3"))</f>
        <v>categorie 2</v>
      </c>
      <c r="G138" s="70"/>
      <c r="H138" s="34"/>
      <c r="I138" s="526">
        <f>ROUND('geg ll'!G224*VLOOKUP($F138,categoriePersVSO,8,FALSE),2)</f>
        <v>0</v>
      </c>
      <c r="J138" s="526">
        <f>ROUND('geg ll'!G224*VLOOKUP($F138,categoriePersVSO,6,FALSE),2)</f>
        <v>0</v>
      </c>
      <c r="K138" s="526">
        <f>ROUND('geg ll'!H224*VLOOKUP($F138,categoriePersVSO,7,FALSE),2)</f>
        <v>0</v>
      </c>
      <c r="L138" s="526">
        <f>ROUND('geg ll'!I224*VLOOKUP($F138,categoriePersVSO,8,FALSE),2)</f>
        <v>0</v>
      </c>
      <c r="M138" s="526">
        <f>ROUND('geg ll'!J224*VLOOKUP($F138,categoriePersVSO,8,FALSE),2)</f>
        <v>0</v>
      </c>
      <c r="N138" s="526">
        <f>ROUND('geg ll'!K224*VLOOKUP($F138,categoriePersVSO,8,FALSE),2)</f>
        <v>0</v>
      </c>
      <c r="O138" s="526">
        <f>ROUND('geg ll'!L224*VLOOKUP($F138,categoriePersVSO,8,FALSE),2)</f>
        <v>0</v>
      </c>
      <c r="P138" s="34"/>
      <c r="Q138" s="25"/>
    </row>
    <row r="139" spans="2:17" x14ac:dyDescent="0.2">
      <c r="B139" s="21"/>
      <c r="C139" s="34"/>
      <c r="D139" s="187"/>
      <c r="E139" s="34"/>
      <c r="F139" s="34" t="str">
        <f>IF('geg ll'!F225=1,"categorie 1",IF('geg ll'!F225=2,"categorie 2","categorie 3"))</f>
        <v>categorie 3</v>
      </c>
      <c r="G139" s="70"/>
      <c r="H139" s="34"/>
      <c r="I139" s="526">
        <f>ROUND('geg ll'!G225*VLOOKUP($F139,categoriePersVSO,8,FALSE),2)</f>
        <v>0</v>
      </c>
      <c r="J139" s="526">
        <f>ROUND('geg ll'!G225*VLOOKUP($F139,categoriePersVSO,6,FALSE),2)</f>
        <v>0</v>
      </c>
      <c r="K139" s="526">
        <f>ROUND('geg ll'!H225*VLOOKUP($F139,categoriePersVSO,7,FALSE),2)</f>
        <v>0</v>
      </c>
      <c r="L139" s="526">
        <f>ROUND('geg ll'!I225*VLOOKUP($F139,categoriePersVSO,8,FALSE),2)</f>
        <v>0</v>
      </c>
      <c r="M139" s="526">
        <f>ROUND('geg ll'!J225*VLOOKUP($F139,categoriePersVSO,8,FALSE),2)</f>
        <v>0</v>
      </c>
      <c r="N139" s="526">
        <f>ROUND('geg ll'!K225*VLOOKUP($F139,categoriePersVSO,8,FALSE),2)</f>
        <v>0</v>
      </c>
      <c r="O139" s="526">
        <f>ROUND('geg ll'!L225*VLOOKUP($F139,categoriePersVSO,8,FALSE),2)</f>
        <v>0</v>
      </c>
      <c r="P139" s="34"/>
      <c r="Q139" s="25"/>
    </row>
    <row r="140" spans="2:17" x14ac:dyDescent="0.2">
      <c r="B140" s="21"/>
      <c r="C140" s="34"/>
      <c r="D140" s="566" t="str">
        <f>+'geg ll'!D227</f>
        <v>School 33</v>
      </c>
      <c r="E140" s="34"/>
      <c r="F140" s="34" t="str">
        <f>IF('geg ll'!F227=1,"categorie 1",IF('geg ll'!F227=2,"categorie 2","categorie 3"))</f>
        <v>categorie 1</v>
      </c>
      <c r="G140" s="70"/>
      <c r="H140" s="34"/>
      <c r="I140" s="526">
        <f>ROUND('geg ll'!G227*VLOOKUP($F140,categoriePersVSO,8,FALSE),2)</f>
        <v>0</v>
      </c>
      <c r="J140" s="526">
        <f>ROUND('geg ll'!G227*VLOOKUP($F140,categoriePersVSO,6,FALSE),2)</f>
        <v>0</v>
      </c>
      <c r="K140" s="526">
        <f>ROUND('geg ll'!H227*VLOOKUP($F140,categoriePersVSO,7,FALSE),2)</f>
        <v>0</v>
      </c>
      <c r="L140" s="526">
        <f>ROUND('geg ll'!I227*VLOOKUP($F140,categoriePersVSO,8,FALSE),2)</f>
        <v>0</v>
      </c>
      <c r="M140" s="526">
        <f>ROUND('geg ll'!J227*VLOOKUP($F140,categoriePersVSO,8,FALSE),2)</f>
        <v>0</v>
      </c>
      <c r="N140" s="526">
        <f>ROUND('geg ll'!K227*VLOOKUP($F140,categoriePersVSO,8,FALSE),2)</f>
        <v>0</v>
      </c>
      <c r="O140" s="526">
        <f>ROUND('geg ll'!L227*VLOOKUP($F140,categoriePersVSO,8,FALSE),2)</f>
        <v>0</v>
      </c>
      <c r="P140" s="34"/>
      <c r="Q140" s="25"/>
    </row>
    <row r="141" spans="2:17" x14ac:dyDescent="0.2">
      <c r="B141" s="21"/>
      <c r="C141" s="34"/>
      <c r="D141" s="187"/>
      <c r="E141" s="34"/>
      <c r="F141" s="34" t="str">
        <f>IF('geg ll'!F228=1,"categorie 1",IF('geg ll'!F228=2,"categorie 2","categorie 3"))</f>
        <v>categorie 2</v>
      </c>
      <c r="G141" s="70"/>
      <c r="H141" s="34"/>
      <c r="I141" s="526">
        <f>ROUND('geg ll'!G228*VLOOKUP($F141,categoriePersVSO,8,FALSE),2)</f>
        <v>0</v>
      </c>
      <c r="J141" s="526">
        <f>ROUND('geg ll'!G228*VLOOKUP($F141,categoriePersVSO,6,FALSE),2)</f>
        <v>0</v>
      </c>
      <c r="K141" s="526">
        <f>ROUND('geg ll'!H228*VLOOKUP($F141,categoriePersVSO,7,FALSE),2)</f>
        <v>0</v>
      </c>
      <c r="L141" s="526">
        <f>ROUND('geg ll'!I228*VLOOKUP($F141,categoriePersVSO,8,FALSE),2)</f>
        <v>0</v>
      </c>
      <c r="M141" s="526">
        <f>ROUND('geg ll'!J228*VLOOKUP($F141,categoriePersVSO,8,FALSE),2)</f>
        <v>0</v>
      </c>
      <c r="N141" s="526">
        <f>ROUND('geg ll'!K228*VLOOKUP($F141,categoriePersVSO,8,FALSE),2)</f>
        <v>0</v>
      </c>
      <c r="O141" s="526">
        <f>ROUND('geg ll'!L228*VLOOKUP($F141,categoriePersVSO,8,FALSE),2)</f>
        <v>0</v>
      </c>
      <c r="P141" s="34"/>
      <c r="Q141" s="25"/>
    </row>
    <row r="142" spans="2:17" x14ac:dyDescent="0.2">
      <c r="B142" s="21"/>
      <c r="C142" s="34"/>
      <c r="D142" s="187"/>
      <c r="E142" s="34"/>
      <c r="F142" s="34" t="str">
        <f>IF('geg ll'!F229=1,"categorie 1",IF('geg ll'!F229=2,"categorie 2","categorie 3"))</f>
        <v>categorie 3</v>
      </c>
      <c r="G142" s="70"/>
      <c r="H142" s="34"/>
      <c r="I142" s="526">
        <f>ROUND('geg ll'!G229*VLOOKUP($F142,categoriePersVSO,8,FALSE),2)</f>
        <v>0</v>
      </c>
      <c r="J142" s="526">
        <f>ROUND('geg ll'!G229*VLOOKUP($F142,categoriePersVSO,6,FALSE),2)</f>
        <v>0</v>
      </c>
      <c r="K142" s="526">
        <f>ROUND('geg ll'!H229*VLOOKUP($F142,categoriePersVSO,7,FALSE),2)</f>
        <v>0</v>
      </c>
      <c r="L142" s="526">
        <f>ROUND('geg ll'!I229*VLOOKUP($F142,categoriePersVSO,8,FALSE),2)</f>
        <v>0</v>
      </c>
      <c r="M142" s="526">
        <f>ROUND('geg ll'!J229*VLOOKUP($F142,categoriePersVSO,8,FALSE),2)</f>
        <v>0</v>
      </c>
      <c r="N142" s="526">
        <f>ROUND('geg ll'!K229*VLOOKUP($F142,categoriePersVSO,8,FALSE),2)</f>
        <v>0</v>
      </c>
      <c r="O142" s="526">
        <f>ROUND('geg ll'!L229*VLOOKUP($F142,categoriePersVSO,8,FALSE),2)</f>
        <v>0</v>
      </c>
      <c r="P142" s="34"/>
      <c r="Q142" s="25"/>
    </row>
    <row r="143" spans="2:17" x14ac:dyDescent="0.2">
      <c r="B143" s="21"/>
      <c r="C143" s="34"/>
      <c r="D143" s="566" t="str">
        <f>+'geg ll'!D231</f>
        <v>School 34</v>
      </c>
      <c r="E143" s="34"/>
      <c r="F143" s="34" t="str">
        <f>IF('geg ll'!F231=1,"categorie 1",IF('geg ll'!F231=2,"categorie 2","categorie 3"))</f>
        <v>categorie 1</v>
      </c>
      <c r="G143" s="70"/>
      <c r="H143" s="34"/>
      <c r="I143" s="526">
        <f>ROUND('geg ll'!G231*VLOOKUP($F143,categoriePersVSO,8,FALSE),2)</f>
        <v>0</v>
      </c>
      <c r="J143" s="526">
        <f>ROUND('geg ll'!G231*VLOOKUP($F143,categoriePersVSO,6,FALSE),2)</f>
        <v>0</v>
      </c>
      <c r="K143" s="526">
        <f>ROUND('geg ll'!H231*VLOOKUP($F143,categoriePersVSO,7,FALSE),2)</f>
        <v>0</v>
      </c>
      <c r="L143" s="526">
        <f>ROUND('geg ll'!I231*VLOOKUP($F143,categoriePersVSO,8,FALSE),2)</f>
        <v>0</v>
      </c>
      <c r="M143" s="526">
        <f>ROUND('geg ll'!J231*VLOOKUP($F143,categoriePersVSO,8,FALSE),2)</f>
        <v>0</v>
      </c>
      <c r="N143" s="526">
        <f>ROUND('geg ll'!K231*VLOOKUP($F143,categoriePersVSO,8,FALSE),2)</f>
        <v>0</v>
      </c>
      <c r="O143" s="526">
        <f>ROUND('geg ll'!L231*VLOOKUP($F143,categoriePersVSO,8,FALSE),2)</f>
        <v>0</v>
      </c>
      <c r="P143" s="34"/>
      <c r="Q143" s="25"/>
    </row>
    <row r="144" spans="2:17" x14ac:dyDescent="0.2">
      <c r="B144" s="21"/>
      <c r="C144" s="34"/>
      <c r="D144" s="187"/>
      <c r="E144" s="34"/>
      <c r="F144" s="34" t="str">
        <f>IF('geg ll'!F232=1,"categorie 1",IF('geg ll'!F232=2,"categorie 2","categorie 3"))</f>
        <v>categorie 2</v>
      </c>
      <c r="G144" s="70"/>
      <c r="H144" s="34"/>
      <c r="I144" s="526">
        <f>ROUND('geg ll'!G232*VLOOKUP($F144,categoriePersVSO,8,FALSE),2)</f>
        <v>0</v>
      </c>
      <c r="J144" s="526">
        <f>ROUND('geg ll'!G232*VLOOKUP($F144,categoriePersVSO,6,FALSE),2)</f>
        <v>0</v>
      </c>
      <c r="K144" s="526">
        <f>ROUND('geg ll'!H232*VLOOKUP($F144,categoriePersVSO,7,FALSE),2)</f>
        <v>0</v>
      </c>
      <c r="L144" s="526">
        <f>ROUND('geg ll'!I232*VLOOKUP($F144,categoriePersVSO,8,FALSE),2)</f>
        <v>0</v>
      </c>
      <c r="M144" s="526">
        <f>ROUND('geg ll'!J232*VLOOKUP($F144,categoriePersVSO,8,FALSE),2)</f>
        <v>0</v>
      </c>
      <c r="N144" s="526">
        <f>ROUND('geg ll'!K232*VLOOKUP($F144,categoriePersVSO,8,FALSE),2)</f>
        <v>0</v>
      </c>
      <c r="O144" s="526">
        <f>ROUND('geg ll'!L232*VLOOKUP($F144,categoriePersVSO,8,FALSE),2)</f>
        <v>0</v>
      </c>
      <c r="P144" s="34"/>
      <c r="Q144" s="25"/>
    </row>
    <row r="145" spans="2:17" x14ac:dyDescent="0.2">
      <c r="B145" s="21"/>
      <c r="C145" s="34"/>
      <c r="D145" s="187"/>
      <c r="E145" s="34"/>
      <c r="F145" s="34" t="str">
        <f>IF('geg ll'!F233=1,"categorie 1",IF('geg ll'!F233=2,"categorie 2","categorie 3"))</f>
        <v>categorie 3</v>
      </c>
      <c r="G145" s="70"/>
      <c r="H145" s="34"/>
      <c r="I145" s="526">
        <f>ROUND('geg ll'!G233*VLOOKUP($F145,categoriePersVSO,8,FALSE),2)</f>
        <v>0</v>
      </c>
      <c r="J145" s="526">
        <f>ROUND('geg ll'!G233*VLOOKUP($F145,categoriePersVSO,6,FALSE),2)</f>
        <v>0</v>
      </c>
      <c r="K145" s="526">
        <f>ROUND('geg ll'!H233*VLOOKUP($F145,categoriePersVSO,7,FALSE),2)</f>
        <v>0</v>
      </c>
      <c r="L145" s="526">
        <f>ROUND('geg ll'!I233*VLOOKUP($F145,categoriePersVSO,8,FALSE),2)</f>
        <v>0</v>
      </c>
      <c r="M145" s="526">
        <f>ROUND('geg ll'!J233*VLOOKUP($F145,categoriePersVSO,8,FALSE),2)</f>
        <v>0</v>
      </c>
      <c r="N145" s="526">
        <f>ROUND('geg ll'!K233*VLOOKUP($F145,categoriePersVSO,8,FALSE),2)</f>
        <v>0</v>
      </c>
      <c r="O145" s="526">
        <f>ROUND('geg ll'!L233*VLOOKUP($F145,categoriePersVSO,8,FALSE),2)</f>
        <v>0</v>
      </c>
      <c r="P145" s="34"/>
      <c r="Q145" s="25"/>
    </row>
    <row r="146" spans="2:17" x14ac:dyDescent="0.2">
      <c r="B146" s="21"/>
      <c r="C146" s="34"/>
      <c r="D146" s="566" t="str">
        <f>+'geg ll'!D235</f>
        <v>School 35</v>
      </c>
      <c r="E146" s="34"/>
      <c r="F146" s="34" t="str">
        <f>IF('geg ll'!F235=1,"categorie 1",IF('geg ll'!F235=2,"categorie 2","categorie 3"))</f>
        <v>categorie 1</v>
      </c>
      <c r="G146" s="70"/>
      <c r="H146" s="34"/>
      <c r="I146" s="526">
        <f>ROUND('geg ll'!G235*VLOOKUP($F145,categoriePersVSO,8,FALSE),2)</f>
        <v>0</v>
      </c>
      <c r="J146" s="526">
        <f>ROUND('geg ll'!G235*VLOOKUP($F145,categoriePersVSO,6,FALSE),2)</f>
        <v>0</v>
      </c>
      <c r="K146" s="526">
        <f>ROUND('geg ll'!H235*VLOOKUP($F145,categoriePersVSO,7,FALSE),2)</f>
        <v>0</v>
      </c>
      <c r="L146" s="526">
        <f>ROUND('geg ll'!I235*VLOOKUP($F145,categoriePersVSO,8,FALSE),2)</f>
        <v>0</v>
      </c>
      <c r="M146" s="526">
        <f>ROUND('geg ll'!J235*VLOOKUP($F145,categoriePersVSO,8,FALSE),2)</f>
        <v>0</v>
      </c>
      <c r="N146" s="526">
        <f>ROUND('geg ll'!K235*VLOOKUP($F145,categoriePersVSO,8,FALSE),2)</f>
        <v>0</v>
      </c>
      <c r="O146" s="526">
        <f>ROUND('geg ll'!L235*VLOOKUP($F145,categoriePersVSO,8,FALSE),2)</f>
        <v>0</v>
      </c>
      <c r="P146" s="34"/>
      <c r="Q146" s="25"/>
    </row>
    <row r="147" spans="2:17" x14ac:dyDescent="0.2">
      <c r="B147" s="21"/>
      <c r="C147" s="34"/>
      <c r="D147" s="187"/>
      <c r="E147" s="34"/>
      <c r="F147" s="34" t="str">
        <f>IF('geg ll'!F236=1,"categorie 1",IF('geg ll'!F236=2,"categorie 2","categorie 3"))</f>
        <v>categorie 2</v>
      </c>
      <c r="G147" s="70"/>
      <c r="H147" s="34"/>
      <c r="I147" s="526">
        <f>ROUND('geg ll'!G236*VLOOKUP($F147,categoriePersVSO,8,FALSE),2)</f>
        <v>0</v>
      </c>
      <c r="J147" s="526">
        <f>ROUND('geg ll'!G236*VLOOKUP($F147,categoriePersVSO,6,FALSE),2)</f>
        <v>0</v>
      </c>
      <c r="K147" s="526">
        <f>ROUND('geg ll'!H236*VLOOKUP($F147,categoriePersVSO,7,FALSE),2)</f>
        <v>0</v>
      </c>
      <c r="L147" s="526">
        <f>ROUND('geg ll'!I236*VLOOKUP($F147,categoriePersVSO,8,FALSE),2)</f>
        <v>0</v>
      </c>
      <c r="M147" s="526">
        <f>ROUND('geg ll'!J236*VLOOKUP($F147,categoriePersVSO,8,FALSE),2)</f>
        <v>0</v>
      </c>
      <c r="N147" s="526">
        <f>ROUND('geg ll'!K236*VLOOKUP($F147,categoriePersVSO,8,FALSE),2)</f>
        <v>0</v>
      </c>
      <c r="O147" s="526">
        <f>ROUND('geg ll'!L236*VLOOKUP($F147,categoriePersVSO,8,FALSE),2)</f>
        <v>0</v>
      </c>
      <c r="P147" s="34"/>
      <c r="Q147" s="25"/>
    </row>
    <row r="148" spans="2:17" x14ac:dyDescent="0.2">
      <c r="B148" s="21"/>
      <c r="C148" s="34"/>
      <c r="D148" s="187"/>
      <c r="E148" s="34"/>
      <c r="F148" s="34" t="str">
        <f>IF('geg ll'!F237=1,"categorie 1",IF('geg ll'!F237=2,"categorie 2","categorie 3"))</f>
        <v>categorie 3</v>
      </c>
      <c r="G148" s="70"/>
      <c r="H148" s="34"/>
      <c r="I148" s="526">
        <f>ROUND('geg ll'!G237*VLOOKUP($F148,categoriePersVSO,8,FALSE),2)</f>
        <v>0</v>
      </c>
      <c r="J148" s="526">
        <f>ROUND('geg ll'!G237*VLOOKUP($F148,categoriePersVSO,6,FALSE),2)</f>
        <v>0</v>
      </c>
      <c r="K148" s="526">
        <f>ROUND('geg ll'!H237*VLOOKUP($F148,categoriePersVSO,7,FALSE),2)</f>
        <v>0</v>
      </c>
      <c r="L148" s="526">
        <f>ROUND('geg ll'!I237*VLOOKUP($F148,categoriePersVSO,8,FALSE),2)</f>
        <v>0</v>
      </c>
      <c r="M148" s="526">
        <f>ROUND('geg ll'!J237*VLOOKUP($F148,categoriePersVSO,8,FALSE),2)</f>
        <v>0</v>
      </c>
      <c r="N148" s="526">
        <f>ROUND('geg ll'!K237*VLOOKUP($F148,categoriePersVSO,8,FALSE),2)</f>
        <v>0</v>
      </c>
      <c r="O148" s="526">
        <f>ROUND('geg ll'!L237*VLOOKUP($F148,categoriePersVSO,8,FALSE),2)</f>
        <v>0</v>
      </c>
      <c r="P148" s="34"/>
      <c r="Q148" s="25"/>
    </row>
    <row r="149" spans="2:17" x14ac:dyDescent="0.2">
      <c r="B149" s="21"/>
      <c r="C149" s="34"/>
      <c r="D149" s="187"/>
      <c r="E149" s="795"/>
      <c r="F149" s="795"/>
      <c r="G149" s="795"/>
      <c r="H149" s="795"/>
      <c r="I149" s="795"/>
      <c r="J149" s="795"/>
      <c r="K149" s="795"/>
      <c r="L149" s="795"/>
      <c r="M149" s="795"/>
      <c r="N149" s="795"/>
      <c r="O149" s="795"/>
      <c r="P149" s="795"/>
      <c r="Q149" s="25"/>
    </row>
    <row r="150" spans="2:17" x14ac:dyDescent="0.2">
      <c r="B150" s="21"/>
      <c r="C150" s="34"/>
      <c r="D150" s="195" t="s">
        <v>7</v>
      </c>
      <c r="E150" s="34"/>
      <c r="F150" s="36"/>
      <c r="G150" s="36"/>
      <c r="H150" s="34"/>
      <c r="I150" s="525">
        <f t="shared" ref="I150:N150" si="9">SUM(I44:I88)+SUM(I89:I148)</f>
        <v>6209823.2199999997</v>
      </c>
      <c r="J150" s="525">
        <f t="shared" si="9"/>
        <v>5976383.5199999996</v>
      </c>
      <c r="K150" s="525">
        <f t="shared" si="9"/>
        <v>6405269.5099999998</v>
      </c>
      <c r="L150" s="525">
        <f t="shared" si="9"/>
        <v>6259105.5999999996</v>
      </c>
      <c r="M150" s="525">
        <f t="shared" si="9"/>
        <v>6259105.5999999996</v>
      </c>
      <c r="N150" s="525">
        <f t="shared" si="9"/>
        <v>6259105.5999999996</v>
      </c>
      <c r="O150" s="525">
        <f>SUM(O44:O88)+SUM(O89:O148)</f>
        <v>6259105.5999999996</v>
      </c>
      <c r="P150" s="34"/>
      <c r="Q150" s="25"/>
    </row>
    <row r="151" spans="2:17" x14ac:dyDescent="0.2">
      <c r="B151" s="21"/>
      <c r="C151" s="34"/>
      <c r="D151" s="195"/>
      <c r="E151" s="34"/>
      <c r="F151" s="36"/>
      <c r="G151" s="36"/>
      <c r="H151" s="34"/>
      <c r="I151" s="384"/>
      <c r="J151" s="392"/>
      <c r="K151" s="392"/>
      <c r="L151" s="392"/>
      <c r="M151" s="392"/>
      <c r="N151" s="392"/>
      <c r="O151" s="392"/>
      <c r="P151" s="34"/>
      <c r="Q151" s="25"/>
    </row>
    <row r="152" spans="2:17" x14ac:dyDescent="0.2">
      <c r="B152" s="21"/>
      <c r="C152" s="22"/>
      <c r="D152" s="76"/>
      <c r="E152" s="22"/>
      <c r="F152" s="22"/>
      <c r="G152" s="22"/>
      <c r="H152" s="22"/>
      <c r="I152" s="160"/>
      <c r="J152" s="160"/>
      <c r="K152" s="160"/>
      <c r="L152" s="160"/>
      <c r="M152" s="160"/>
      <c r="N152" s="160"/>
      <c r="O152" s="160"/>
      <c r="P152" s="22"/>
      <c r="Q152" s="25"/>
    </row>
    <row r="153" spans="2:17" x14ac:dyDescent="0.2">
      <c r="B153" s="21"/>
      <c r="C153" s="162"/>
      <c r="D153" s="82"/>
      <c r="E153" s="162"/>
      <c r="F153" s="162"/>
      <c r="G153" s="162"/>
      <c r="H153" s="162"/>
      <c r="I153" s="163"/>
      <c r="J153" s="163"/>
      <c r="K153" s="163"/>
      <c r="L153" s="163"/>
      <c r="M153" s="163"/>
      <c r="N153" s="163"/>
      <c r="O153" s="163"/>
      <c r="P153" s="162"/>
      <c r="Q153" s="25"/>
    </row>
    <row r="154" spans="2:17" x14ac:dyDescent="0.2">
      <c r="B154" s="18"/>
      <c r="C154" s="19"/>
      <c r="D154" s="72"/>
      <c r="E154" s="19"/>
      <c r="F154" s="19"/>
      <c r="G154" s="19"/>
      <c r="H154" s="19"/>
      <c r="I154" s="161"/>
      <c r="J154" s="161"/>
      <c r="K154" s="161"/>
      <c r="L154" s="161"/>
      <c r="M154" s="161"/>
      <c r="N154" s="161"/>
      <c r="O154" s="161"/>
      <c r="P154" s="19"/>
      <c r="Q154" s="20"/>
    </row>
    <row r="155" spans="2:17" x14ac:dyDescent="0.2">
      <c r="B155" s="21"/>
      <c r="C155" s="22"/>
      <c r="D155" s="587"/>
      <c r="E155" s="558" t="s">
        <v>137</v>
      </c>
      <c r="F155" s="199"/>
      <c r="G155" s="199"/>
      <c r="H155" s="558" t="s">
        <v>137</v>
      </c>
      <c r="I155" s="560">
        <f>tab!E4</f>
        <v>2018</v>
      </c>
      <c r="J155" s="560">
        <f>tab!F4</f>
        <v>2019</v>
      </c>
      <c r="K155" s="560">
        <f>tab!G4</f>
        <v>2020</v>
      </c>
      <c r="L155" s="560">
        <f>tab!H4</f>
        <v>2021</v>
      </c>
      <c r="M155" s="560">
        <f>tab!I4</f>
        <v>2022</v>
      </c>
      <c r="N155" s="560">
        <f>tab!J4</f>
        <v>2023</v>
      </c>
      <c r="O155" s="560">
        <f>tab!K4</f>
        <v>2024</v>
      </c>
      <c r="P155" s="22"/>
      <c r="Q155" s="25"/>
    </row>
    <row r="156" spans="2:17" x14ac:dyDescent="0.2">
      <c r="B156" s="21"/>
      <c r="C156" s="22"/>
      <c r="D156" s="76"/>
      <c r="E156" s="22"/>
      <c r="F156" s="22"/>
      <c r="G156" s="22"/>
      <c r="H156" s="22"/>
      <c r="I156" s="160"/>
      <c r="J156" s="160"/>
      <c r="K156" s="160"/>
      <c r="L156" s="160"/>
      <c r="M156" s="160"/>
      <c r="N156" s="160"/>
      <c r="O156" s="160"/>
      <c r="P156" s="22"/>
      <c r="Q156" s="25"/>
    </row>
    <row r="157" spans="2:17" x14ac:dyDescent="0.2">
      <c r="B157" s="21"/>
      <c r="C157" s="34"/>
      <c r="D157" s="187"/>
      <c r="E157" s="34"/>
      <c r="F157" s="34"/>
      <c r="G157" s="34"/>
      <c r="H157" s="34"/>
      <c r="I157" s="394"/>
      <c r="J157" s="394"/>
      <c r="K157" s="394"/>
      <c r="L157" s="394"/>
      <c r="M157" s="394"/>
      <c r="N157" s="394"/>
      <c r="O157" s="394"/>
      <c r="P157" s="34"/>
      <c r="Q157" s="25"/>
    </row>
    <row r="158" spans="2:17" x14ac:dyDescent="0.2">
      <c r="B158" s="21"/>
      <c r="C158" s="34"/>
      <c r="D158" s="185" t="s">
        <v>18</v>
      </c>
      <c r="E158" s="34"/>
      <c r="F158" s="185"/>
      <c r="G158" s="185"/>
      <c r="H158" s="34"/>
      <c r="I158" s="394"/>
      <c r="J158" s="394"/>
      <c r="K158" s="394"/>
      <c r="L158" s="394"/>
      <c r="M158" s="394"/>
      <c r="N158" s="394"/>
      <c r="O158" s="394"/>
      <c r="P158" s="34"/>
      <c r="Q158" s="25"/>
    </row>
    <row r="159" spans="2:17" x14ac:dyDescent="0.2">
      <c r="B159" s="21"/>
      <c r="C159" s="34"/>
      <c r="D159" s="185"/>
      <c r="E159" s="34"/>
      <c r="F159" s="185"/>
      <c r="G159" s="185"/>
      <c r="H159" s="34"/>
      <c r="I159" s="394"/>
      <c r="J159" s="394"/>
      <c r="K159" s="394"/>
      <c r="L159" s="394"/>
      <c r="M159" s="394"/>
      <c r="N159" s="394"/>
      <c r="O159" s="394"/>
      <c r="P159" s="34"/>
      <c r="Q159" s="25"/>
    </row>
    <row r="160" spans="2:17" x14ac:dyDescent="0.2">
      <c r="B160" s="21"/>
      <c r="C160" s="34"/>
      <c r="D160" s="566" t="str">
        <f>+D44</f>
        <v>School 1</v>
      </c>
      <c r="E160" s="34"/>
      <c r="F160" s="384" t="s">
        <v>342</v>
      </c>
      <c r="G160" s="70"/>
      <c r="H160" s="34"/>
      <c r="I160" s="526">
        <f>ROUND('geg ll'!G99*VLOOKUP($F160,categorieMatVSO,8,FALSE),2)</f>
        <v>268017.7</v>
      </c>
      <c r="J160" s="1535"/>
      <c r="K160" s="526">
        <f>ROUND('geg ll'!H99*VLOOKUP($F160,categorieMatVSO,7,FALSE),2)</f>
        <v>282970.61</v>
      </c>
      <c r="L160" s="526">
        <f>ROUND('geg ll'!I99*VLOOKUP($F160,categorieMatVSO,8,FALSE),2)</f>
        <v>277191.90000000002</v>
      </c>
      <c r="M160" s="526">
        <f>ROUND('geg ll'!J99*VLOOKUP($F160,categorieMatVSO,9,FALSE),2)</f>
        <v>277191.90000000002</v>
      </c>
      <c r="N160" s="526">
        <f>ROUND('geg ll'!K99*VLOOKUP($F160,categorieMatVSO,9,FALSE),2)</f>
        <v>277191.90000000002</v>
      </c>
      <c r="O160" s="526">
        <f>ROUND('geg ll'!L99*VLOOKUP($F160,categorieMatVSO,9,FALSE),2)</f>
        <v>277191.90000000002</v>
      </c>
      <c r="P160" s="34"/>
      <c r="Q160" s="25"/>
    </row>
    <row r="161" spans="2:17" x14ac:dyDescent="0.2">
      <c r="B161" s="21"/>
      <c r="C161" s="36"/>
      <c r="D161" s="187" t="s">
        <v>15</v>
      </c>
      <c r="E161" s="34"/>
      <c r="F161" s="384" t="s">
        <v>343</v>
      </c>
      <c r="G161" s="70"/>
      <c r="H161" s="34"/>
      <c r="I161" s="526">
        <f>ROUND('geg ll'!G100*VLOOKUP($F161,categorieMatVSO,8,FALSE),2)</f>
        <v>30578.400000000001</v>
      </c>
      <c r="J161" s="1535"/>
      <c r="K161" s="526">
        <f>ROUND('geg ll'!H100*VLOOKUP($F161,categorieMatVSO,7,FALSE),2)</f>
        <v>29208.51</v>
      </c>
      <c r="L161" s="526">
        <f>ROUND('geg ll'!I100*VLOOKUP($F161,categorieMatVSO,8,FALSE),2)</f>
        <v>32616.959999999999</v>
      </c>
      <c r="M161" s="526">
        <f>ROUND('geg ll'!J100*VLOOKUP($F161,categorieMatVSO,9,FALSE),2)</f>
        <v>32616.959999999999</v>
      </c>
      <c r="N161" s="526">
        <f>ROUND('geg ll'!K100*VLOOKUP($F161,categorieMatVSO,9,FALSE),2)</f>
        <v>32616.959999999999</v>
      </c>
      <c r="O161" s="526">
        <f>ROUND('geg ll'!L100*VLOOKUP($F161,categorieMatVSO,9,FALSE),2)</f>
        <v>32616.959999999999</v>
      </c>
      <c r="P161" s="36"/>
      <c r="Q161" s="25"/>
    </row>
    <row r="162" spans="2:17" x14ac:dyDescent="0.2">
      <c r="B162" s="21"/>
      <c r="C162" s="34"/>
      <c r="D162" s="187"/>
      <c r="E162" s="34"/>
      <c r="F162" s="384" t="s">
        <v>344</v>
      </c>
      <c r="G162" s="70"/>
      <c r="H162" s="34"/>
      <c r="I162" s="526">
        <f>ROUND('geg ll'!G101*VLOOKUP($F162,categorieMatVSO,8,FALSE),2)</f>
        <v>54363.72</v>
      </c>
      <c r="J162" s="1535"/>
      <c r="K162" s="526">
        <f>ROUND('geg ll'!H101*VLOOKUP($F162,categorieMatVSO,7,FALSE),2)</f>
        <v>51383.64</v>
      </c>
      <c r="L162" s="526">
        <f>ROUND('geg ll'!I101*VLOOKUP($F162,categorieMatVSO,8,FALSE),2)</f>
        <v>47272.800000000003</v>
      </c>
      <c r="M162" s="526">
        <f>ROUND('geg ll'!J101*VLOOKUP($F162,categorieMatVSO,9,FALSE),2)</f>
        <v>47272.800000000003</v>
      </c>
      <c r="N162" s="526">
        <f>ROUND('geg ll'!K101*VLOOKUP($F162,categorieMatVSO,9,FALSE),2)</f>
        <v>47272.800000000003</v>
      </c>
      <c r="O162" s="526">
        <f>ROUND('geg ll'!L101*VLOOKUP($F162,categorieMatVSO,9,FALSE),2)</f>
        <v>47272.800000000003</v>
      </c>
      <c r="P162" s="34"/>
      <c r="Q162" s="25"/>
    </row>
    <row r="163" spans="2:17" x14ac:dyDescent="0.2">
      <c r="B163" s="21"/>
      <c r="C163" s="34"/>
      <c r="D163" s="566" t="str">
        <f>+D47</f>
        <v>School 2</v>
      </c>
      <c r="E163" s="34"/>
      <c r="F163" s="187" t="str">
        <f t="shared" ref="F163:F204" si="10">+F47</f>
        <v>categorie 1</v>
      </c>
      <c r="G163" s="70"/>
      <c r="H163" s="34"/>
      <c r="I163" s="526">
        <f>ROUND('geg ll'!G103*VLOOKUP($F163,categorieMatVSO,8,FALSE),2)</f>
        <v>0</v>
      </c>
      <c r="J163" s="1535"/>
      <c r="K163" s="526">
        <f>ROUND('geg ll'!I103*VLOOKUP($F163,categorieMatVSO,7,FALSE),2)</f>
        <v>0</v>
      </c>
      <c r="L163" s="526">
        <f>ROUND('geg ll'!J103*VLOOKUP($F163,categorieMatVSO,8,FALSE),2)</f>
        <v>0</v>
      </c>
      <c r="M163" s="526">
        <f>ROUND('geg ll'!K103*VLOOKUP($F163,categorieMatVSO,9,FALSE),2)</f>
        <v>0</v>
      </c>
      <c r="N163" s="526">
        <f>ROUND('geg ll'!L103*VLOOKUP($F163,categorieMatVSO,9,FALSE),2)</f>
        <v>0</v>
      </c>
      <c r="O163" s="526">
        <f>ROUND('geg ll'!M103*VLOOKUP($F163,categorieMatVSO,9,FALSE),2)</f>
        <v>0</v>
      </c>
      <c r="P163" s="34"/>
      <c r="Q163" s="25"/>
    </row>
    <row r="164" spans="2:17" x14ac:dyDescent="0.2">
      <c r="B164" s="21"/>
      <c r="C164" s="34"/>
      <c r="D164" s="187" t="s">
        <v>15</v>
      </c>
      <c r="E164" s="34"/>
      <c r="F164" s="187" t="str">
        <f t="shared" si="10"/>
        <v>categorie 2</v>
      </c>
      <c r="G164" s="70"/>
      <c r="H164" s="34"/>
      <c r="I164" s="526">
        <f>ROUND('geg ll'!G104*VLOOKUP($F164,categorieMatVSO,8,FALSE),2)</f>
        <v>0</v>
      </c>
      <c r="J164" s="1535"/>
      <c r="K164" s="526">
        <f>ROUND('geg ll'!I104*VLOOKUP($F164,categorieMatVSO,7,FALSE),2)</f>
        <v>0</v>
      </c>
      <c r="L164" s="526">
        <f>ROUND('geg ll'!J104*VLOOKUP($F164,categorieMatVSO,8,FALSE),2)</f>
        <v>0</v>
      </c>
      <c r="M164" s="526">
        <f>ROUND('geg ll'!K104*VLOOKUP($F164,categorieMatVSO,9,FALSE),2)</f>
        <v>0</v>
      </c>
      <c r="N164" s="526">
        <f>ROUND('geg ll'!L104*VLOOKUP($F164,categorieMatVSO,9,FALSE),2)</f>
        <v>0</v>
      </c>
      <c r="O164" s="526">
        <f>ROUND('geg ll'!M104*VLOOKUP($F164,categorieMatVSO,9,FALSE),2)</f>
        <v>0</v>
      </c>
      <c r="P164" s="34"/>
      <c r="Q164" s="25"/>
    </row>
    <row r="165" spans="2:17" x14ac:dyDescent="0.2">
      <c r="B165" s="21"/>
      <c r="C165" s="34"/>
      <c r="D165" s="187"/>
      <c r="E165" s="34"/>
      <c r="F165" s="187" t="str">
        <f t="shared" si="10"/>
        <v>categorie 3</v>
      </c>
      <c r="G165" s="70"/>
      <c r="H165" s="34"/>
      <c r="I165" s="526">
        <f>ROUND('geg ll'!G105*VLOOKUP($F165,categorieMatVSO,8,FALSE),2)</f>
        <v>0</v>
      </c>
      <c r="J165" s="1535"/>
      <c r="K165" s="526">
        <f>ROUND('geg ll'!I105*VLOOKUP($F165,categorieMatVSO,7,FALSE),2)</f>
        <v>0</v>
      </c>
      <c r="L165" s="526">
        <f>ROUND('geg ll'!J105*VLOOKUP($F165,categorieMatVSO,8,FALSE),2)</f>
        <v>0</v>
      </c>
      <c r="M165" s="526">
        <f>ROUND('geg ll'!K105*VLOOKUP($F165,categorieMatVSO,9,FALSE),2)</f>
        <v>0</v>
      </c>
      <c r="N165" s="526">
        <f>ROUND('geg ll'!L105*VLOOKUP($F165,categorieMatVSO,9,FALSE),2)</f>
        <v>0</v>
      </c>
      <c r="O165" s="526">
        <f>ROUND('geg ll'!M105*VLOOKUP($F165,categorieMatVSO,9,FALSE),2)</f>
        <v>0</v>
      </c>
      <c r="P165" s="34"/>
      <c r="Q165" s="25"/>
    </row>
    <row r="166" spans="2:17" x14ac:dyDescent="0.2">
      <c r="B166" s="21"/>
      <c r="C166" s="36"/>
      <c r="D166" s="566" t="str">
        <f>+D50</f>
        <v>School 3</v>
      </c>
      <c r="E166" s="34"/>
      <c r="F166" s="187" t="str">
        <f t="shared" si="10"/>
        <v>categorie 1</v>
      </c>
      <c r="G166" s="70"/>
      <c r="H166" s="34"/>
      <c r="I166" s="526">
        <f>ROUND('geg ll'!G107*VLOOKUP($F166,categorieMatVSO,8,FALSE),2)</f>
        <v>0</v>
      </c>
      <c r="J166" s="1535"/>
      <c r="K166" s="526">
        <f>ROUND('geg ll'!I107*VLOOKUP($F166,categorieMatVSO,7,FALSE),2)</f>
        <v>0</v>
      </c>
      <c r="L166" s="526">
        <f>ROUND('geg ll'!J107*VLOOKUP($F166,categorieMatVSO,8,FALSE),2)</f>
        <v>0</v>
      </c>
      <c r="M166" s="526">
        <f>ROUND('geg ll'!K107*VLOOKUP($F166,categorieMatVSO,9,FALSE),2)</f>
        <v>0</v>
      </c>
      <c r="N166" s="526">
        <f>ROUND('geg ll'!L107*VLOOKUP($F166,categorieMatVSO,9,FALSE),2)</f>
        <v>0</v>
      </c>
      <c r="O166" s="526">
        <f>ROUND('geg ll'!M107*VLOOKUP($F166,categorieMatVSO,9,FALSE),2)</f>
        <v>0</v>
      </c>
      <c r="P166" s="36"/>
      <c r="Q166" s="25"/>
    </row>
    <row r="167" spans="2:17" x14ac:dyDescent="0.2">
      <c r="B167" s="21"/>
      <c r="C167" s="34"/>
      <c r="D167" s="187" t="s">
        <v>15</v>
      </c>
      <c r="E167" s="34"/>
      <c r="F167" s="187" t="str">
        <f t="shared" si="10"/>
        <v>categorie 2</v>
      </c>
      <c r="G167" s="70"/>
      <c r="H167" s="34"/>
      <c r="I167" s="526">
        <f>ROUND('geg ll'!G108*VLOOKUP($F167,categorieMatVSO,8,FALSE),2)</f>
        <v>0</v>
      </c>
      <c r="J167" s="1535"/>
      <c r="K167" s="526">
        <f>ROUND('geg ll'!I108*VLOOKUP($F167,categorieMatVSO,7,FALSE),2)</f>
        <v>0</v>
      </c>
      <c r="L167" s="526">
        <f>ROUND('geg ll'!J108*VLOOKUP($F167,categorieMatVSO,8,FALSE),2)</f>
        <v>0</v>
      </c>
      <c r="M167" s="526">
        <f>ROUND('geg ll'!K108*VLOOKUP($F167,categorieMatVSO,9,FALSE),2)</f>
        <v>0</v>
      </c>
      <c r="N167" s="526">
        <f>ROUND('geg ll'!L108*VLOOKUP($F167,categorieMatVSO,9,FALSE),2)</f>
        <v>0</v>
      </c>
      <c r="O167" s="526">
        <f>ROUND('geg ll'!M108*VLOOKUP($F167,categorieMatVSO,9,FALSE),2)</f>
        <v>0</v>
      </c>
      <c r="P167" s="34"/>
      <c r="Q167" s="25"/>
    </row>
    <row r="168" spans="2:17" x14ac:dyDescent="0.2">
      <c r="B168" s="21"/>
      <c r="C168" s="34"/>
      <c r="D168" s="187"/>
      <c r="E168" s="34"/>
      <c r="F168" s="187" t="str">
        <f t="shared" si="10"/>
        <v>categorie 3</v>
      </c>
      <c r="G168" s="70"/>
      <c r="H168" s="34"/>
      <c r="I168" s="526">
        <f>ROUND('geg ll'!G109*VLOOKUP($F168,categorieMatVSO,8,FALSE),2)</f>
        <v>0</v>
      </c>
      <c r="J168" s="1535"/>
      <c r="K168" s="526">
        <f>ROUND('geg ll'!I109*VLOOKUP($F168,categorieMatVSO,7,FALSE),2)</f>
        <v>0</v>
      </c>
      <c r="L168" s="526">
        <f>ROUND('geg ll'!J109*VLOOKUP($F168,categorieMatVSO,8,FALSE),2)</f>
        <v>0</v>
      </c>
      <c r="M168" s="526">
        <f>ROUND('geg ll'!K109*VLOOKUP($F168,categorieMatVSO,9,FALSE),2)</f>
        <v>0</v>
      </c>
      <c r="N168" s="526">
        <f>ROUND('geg ll'!L109*VLOOKUP($F168,categorieMatVSO,9,FALSE),2)</f>
        <v>0</v>
      </c>
      <c r="O168" s="526">
        <f>ROUND('geg ll'!M109*VLOOKUP($F168,categorieMatVSO,9,FALSE),2)</f>
        <v>0</v>
      </c>
      <c r="P168" s="34"/>
      <c r="Q168" s="25"/>
    </row>
    <row r="169" spans="2:17" x14ac:dyDescent="0.2">
      <c r="B169" s="21"/>
      <c r="C169" s="34"/>
      <c r="D169" s="566" t="str">
        <f>+D53</f>
        <v>School 4</v>
      </c>
      <c r="E169" s="34"/>
      <c r="F169" s="187" t="str">
        <f t="shared" si="10"/>
        <v>categorie 1</v>
      </c>
      <c r="G169" s="70"/>
      <c r="H169" s="34"/>
      <c r="I169" s="526">
        <f>ROUND('geg ll'!G111*VLOOKUP($F169,categorieMatVSO,8,FALSE),2)</f>
        <v>0</v>
      </c>
      <c r="J169" s="1535"/>
      <c r="K169" s="526">
        <f>ROUND('geg ll'!I111*VLOOKUP($F169,categorieMatVSO,7,FALSE),2)</f>
        <v>0</v>
      </c>
      <c r="L169" s="526">
        <f>ROUND('geg ll'!J111*VLOOKUP($F169,categorieMatVSO,8,FALSE),2)</f>
        <v>0</v>
      </c>
      <c r="M169" s="526">
        <f>ROUND('geg ll'!K111*VLOOKUP($F169,categorieMatVSO,9,FALSE),2)</f>
        <v>0</v>
      </c>
      <c r="N169" s="526">
        <f>ROUND('geg ll'!L111*VLOOKUP($F169,categorieMatVSO,9,FALSE),2)</f>
        <v>0</v>
      </c>
      <c r="O169" s="526">
        <f>ROUND('geg ll'!M111*VLOOKUP($F169,categorieMatVSO,9,FALSE),2)</f>
        <v>0</v>
      </c>
      <c r="P169" s="34"/>
      <c r="Q169" s="25"/>
    </row>
    <row r="170" spans="2:17" x14ac:dyDescent="0.2">
      <c r="B170" s="21"/>
      <c r="C170" s="34"/>
      <c r="D170" s="187" t="s">
        <v>15</v>
      </c>
      <c r="E170" s="34"/>
      <c r="F170" s="187" t="str">
        <f t="shared" si="10"/>
        <v>categorie 2</v>
      </c>
      <c r="G170" s="70"/>
      <c r="H170" s="34"/>
      <c r="I170" s="526">
        <f>ROUND('geg ll'!G112*VLOOKUP($F170,categorieMatVSO,8,FALSE),2)</f>
        <v>0</v>
      </c>
      <c r="J170" s="1535"/>
      <c r="K170" s="526">
        <f>ROUND('geg ll'!I112*VLOOKUP($F170,categorieMatVSO,7,FALSE),2)</f>
        <v>0</v>
      </c>
      <c r="L170" s="526">
        <f>ROUND('geg ll'!J112*VLOOKUP($F170,categorieMatVSO,8,FALSE),2)</f>
        <v>0</v>
      </c>
      <c r="M170" s="526">
        <f>ROUND('geg ll'!K112*VLOOKUP($F170,categorieMatVSO,9,FALSE),2)</f>
        <v>0</v>
      </c>
      <c r="N170" s="526">
        <f>ROUND('geg ll'!L112*VLOOKUP($F170,categorieMatVSO,9,FALSE),2)</f>
        <v>0</v>
      </c>
      <c r="O170" s="526">
        <f>ROUND('geg ll'!M112*VLOOKUP($F170,categorieMatVSO,9,FALSE),2)</f>
        <v>0</v>
      </c>
      <c r="P170" s="34"/>
      <c r="Q170" s="25"/>
    </row>
    <row r="171" spans="2:17" x14ac:dyDescent="0.2">
      <c r="B171" s="21"/>
      <c r="C171" s="34"/>
      <c r="D171" s="187"/>
      <c r="E171" s="34"/>
      <c r="F171" s="187" t="str">
        <f t="shared" si="10"/>
        <v>categorie 3</v>
      </c>
      <c r="G171" s="70"/>
      <c r="H171" s="34"/>
      <c r="I171" s="526">
        <f>ROUND('geg ll'!G113*VLOOKUP($F171,categorieMatVSO,8,FALSE),2)</f>
        <v>0</v>
      </c>
      <c r="J171" s="1535"/>
      <c r="K171" s="526">
        <f>ROUND('geg ll'!I113*VLOOKUP($F171,categorieMatVSO,7,FALSE),2)</f>
        <v>0</v>
      </c>
      <c r="L171" s="526">
        <f>ROUND('geg ll'!J113*VLOOKUP($F171,categorieMatVSO,8,FALSE),2)</f>
        <v>0</v>
      </c>
      <c r="M171" s="526">
        <f>ROUND('geg ll'!K113*VLOOKUP($F171,categorieMatVSO,9,FALSE),2)</f>
        <v>0</v>
      </c>
      <c r="N171" s="526">
        <f>ROUND('geg ll'!L113*VLOOKUP($F171,categorieMatVSO,9,FALSE),2)</f>
        <v>0</v>
      </c>
      <c r="O171" s="526">
        <f>ROUND('geg ll'!M113*VLOOKUP($F171,categorieMatVSO,9,FALSE),2)</f>
        <v>0</v>
      </c>
      <c r="P171" s="34"/>
      <c r="Q171" s="25"/>
    </row>
    <row r="172" spans="2:17" x14ac:dyDescent="0.2">
      <c r="B172" s="21"/>
      <c r="C172" s="34"/>
      <c r="D172" s="566" t="str">
        <f>+D56</f>
        <v>School 5</v>
      </c>
      <c r="E172" s="34"/>
      <c r="F172" s="187" t="str">
        <f t="shared" si="10"/>
        <v>categorie 1</v>
      </c>
      <c r="G172" s="70"/>
      <c r="H172" s="34"/>
      <c r="I172" s="526">
        <f>ROUND('geg ll'!G115*VLOOKUP($F172,categorieMatVSO,8,FALSE),2)</f>
        <v>0</v>
      </c>
      <c r="J172" s="1535"/>
      <c r="K172" s="526">
        <f>ROUND('geg ll'!I115*VLOOKUP($F172,categorieMatVSO,7,FALSE),2)</f>
        <v>0</v>
      </c>
      <c r="L172" s="526">
        <f>ROUND('geg ll'!J115*VLOOKUP($F172,categorieMatVSO,8,FALSE),2)</f>
        <v>0</v>
      </c>
      <c r="M172" s="526">
        <f>ROUND('geg ll'!K115*VLOOKUP($F172,categorieMatVSO,9,FALSE),2)</f>
        <v>0</v>
      </c>
      <c r="N172" s="526">
        <f>ROUND('geg ll'!L115*VLOOKUP($F172,categorieMatVSO,9,FALSE),2)</f>
        <v>0</v>
      </c>
      <c r="O172" s="526">
        <f>ROUND('geg ll'!M115*VLOOKUP($F172,categorieMatVSO,9,FALSE),2)</f>
        <v>0</v>
      </c>
      <c r="P172" s="34"/>
      <c r="Q172" s="25"/>
    </row>
    <row r="173" spans="2:17" x14ac:dyDescent="0.2">
      <c r="B173" s="21"/>
      <c r="C173" s="34"/>
      <c r="D173" s="187" t="s">
        <v>15</v>
      </c>
      <c r="E173" s="34"/>
      <c r="F173" s="187" t="str">
        <f t="shared" si="10"/>
        <v>categorie 2</v>
      </c>
      <c r="G173" s="70"/>
      <c r="H173" s="34"/>
      <c r="I173" s="526">
        <f>ROUND('geg ll'!G116*VLOOKUP($F173,categorieMatVSO,8,FALSE),2)</f>
        <v>0</v>
      </c>
      <c r="J173" s="1535"/>
      <c r="K173" s="526">
        <f>ROUND('geg ll'!I116*VLOOKUP($F173,categorieMatVSO,7,FALSE),2)</f>
        <v>0</v>
      </c>
      <c r="L173" s="526">
        <f>ROUND('geg ll'!J116*VLOOKUP($F173,categorieMatVSO,8,FALSE),2)</f>
        <v>0</v>
      </c>
      <c r="M173" s="526">
        <f>ROUND('geg ll'!K116*VLOOKUP($F173,categorieMatVSO,9,FALSE),2)</f>
        <v>0</v>
      </c>
      <c r="N173" s="526">
        <f>ROUND('geg ll'!L116*VLOOKUP($F173,categorieMatVSO,9,FALSE),2)</f>
        <v>0</v>
      </c>
      <c r="O173" s="526">
        <f>ROUND('geg ll'!M116*VLOOKUP($F173,categorieMatVSO,9,FALSE),2)</f>
        <v>0</v>
      </c>
      <c r="P173" s="34"/>
      <c r="Q173" s="25"/>
    </row>
    <row r="174" spans="2:17" x14ac:dyDescent="0.2">
      <c r="B174" s="21"/>
      <c r="C174" s="34"/>
      <c r="D174" s="187"/>
      <c r="E174" s="34"/>
      <c r="F174" s="187" t="str">
        <f t="shared" si="10"/>
        <v>categorie 3</v>
      </c>
      <c r="G174" s="70"/>
      <c r="H174" s="34"/>
      <c r="I174" s="526">
        <f>ROUND('geg ll'!G117*VLOOKUP($F174,categorieMatVSO,8,FALSE),2)</f>
        <v>0</v>
      </c>
      <c r="J174" s="1535"/>
      <c r="K174" s="526">
        <f>ROUND('geg ll'!I117*VLOOKUP($F174,categorieMatVSO,7,FALSE),2)</f>
        <v>0</v>
      </c>
      <c r="L174" s="526">
        <f>ROUND('geg ll'!J117*VLOOKUP($F174,categorieMatVSO,8,FALSE),2)</f>
        <v>0</v>
      </c>
      <c r="M174" s="526">
        <f>ROUND('geg ll'!K117*VLOOKUP($F174,categorieMatVSO,9,FALSE),2)</f>
        <v>0</v>
      </c>
      <c r="N174" s="526">
        <f>ROUND('geg ll'!L117*VLOOKUP($F174,categorieMatVSO,9,FALSE),2)</f>
        <v>0</v>
      </c>
      <c r="O174" s="526">
        <f>ROUND('geg ll'!M117*VLOOKUP($F174,categorieMatVSO,9,FALSE),2)</f>
        <v>0</v>
      </c>
      <c r="P174" s="34"/>
      <c r="Q174" s="25"/>
    </row>
    <row r="175" spans="2:17" x14ac:dyDescent="0.2">
      <c r="B175" s="21"/>
      <c r="C175" s="34"/>
      <c r="D175" s="566" t="str">
        <f>+D59</f>
        <v>School 6</v>
      </c>
      <c r="E175" s="34"/>
      <c r="F175" s="187" t="str">
        <f t="shared" si="10"/>
        <v>categorie 1</v>
      </c>
      <c r="G175" s="70"/>
      <c r="H175" s="34"/>
      <c r="I175" s="526">
        <f>ROUND('geg ll'!G119*VLOOKUP($F175,categorieMatVSO,8,FALSE),2)</f>
        <v>0</v>
      </c>
      <c r="J175" s="1535"/>
      <c r="K175" s="526">
        <f>ROUND('geg ll'!I119*VLOOKUP($F175,categorieMatVSO,7,FALSE),2)</f>
        <v>0</v>
      </c>
      <c r="L175" s="526">
        <f>ROUND('geg ll'!J119*VLOOKUP($F175,categorieMatVSO,8,FALSE),2)</f>
        <v>0</v>
      </c>
      <c r="M175" s="526">
        <f>ROUND('geg ll'!K119*VLOOKUP($F175,categorieMatVSO,9,FALSE),2)</f>
        <v>0</v>
      </c>
      <c r="N175" s="526">
        <f>ROUND('geg ll'!L119*VLOOKUP($F175,categorieMatVSO,9,FALSE),2)</f>
        <v>0</v>
      </c>
      <c r="O175" s="526">
        <f>ROUND('geg ll'!M119*VLOOKUP($F175,categorieMatVSO,9,FALSE),2)</f>
        <v>0</v>
      </c>
      <c r="P175" s="34"/>
      <c r="Q175" s="25"/>
    </row>
    <row r="176" spans="2:17" x14ac:dyDescent="0.2">
      <c r="B176" s="21"/>
      <c r="C176" s="34"/>
      <c r="D176" s="187" t="s">
        <v>15</v>
      </c>
      <c r="E176" s="34"/>
      <c r="F176" s="187" t="str">
        <f t="shared" si="10"/>
        <v>categorie 2</v>
      </c>
      <c r="G176" s="70"/>
      <c r="H176" s="34"/>
      <c r="I176" s="526">
        <f>ROUND('geg ll'!G120*VLOOKUP($F175,categorieMatVSO,8,FALSE),2)</f>
        <v>0</v>
      </c>
      <c r="J176" s="1535"/>
      <c r="K176" s="526">
        <f>ROUND('geg ll'!I120*VLOOKUP($F175,categorieMatVSO,7,FALSE),2)</f>
        <v>0</v>
      </c>
      <c r="L176" s="526">
        <f>ROUND('geg ll'!J120*VLOOKUP($F175,categorieMatVSO,8,FALSE),2)</f>
        <v>0</v>
      </c>
      <c r="M176" s="526">
        <f>ROUND('geg ll'!K120*VLOOKUP($F175,categorieMatVSO,9,FALSE),2)</f>
        <v>0</v>
      </c>
      <c r="N176" s="526">
        <f>ROUND('geg ll'!L120*VLOOKUP($F175,categorieMatVSO,9,FALSE),2)</f>
        <v>0</v>
      </c>
      <c r="O176" s="526">
        <f>ROUND('geg ll'!M120*VLOOKUP($F175,categorieMatVSO,9,FALSE),2)</f>
        <v>0</v>
      </c>
      <c r="P176" s="34"/>
      <c r="Q176" s="25"/>
    </row>
    <row r="177" spans="2:17" x14ac:dyDescent="0.2">
      <c r="B177" s="21"/>
      <c r="C177" s="34"/>
      <c r="D177" s="187"/>
      <c r="E177" s="34"/>
      <c r="F177" s="187" t="str">
        <f t="shared" si="10"/>
        <v>categorie 3</v>
      </c>
      <c r="G177" s="70"/>
      <c r="H177" s="34"/>
      <c r="I177" s="526">
        <f>ROUND('geg ll'!G121*VLOOKUP($F177,categorieMatVSO,8,FALSE),2)</f>
        <v>0</v>
      </c>
      <c r="J177" s="1535"/>
      <c r="K177" s="526">
        <f>ROUND('geg ll'!I121*VLOOKUP($F177,categorieMatVSO,7,FALSE),2)</f>
        <v>0</v>
      </c>
      <c r="L177" s="526">
        <f>ROUND('geg ll'!J121*VLOOKUP($F177,categorieMatVSO,8,FALSE),2)</f>
        <v>0</v>
      </c>
      <c r="M177" s="526">
        <f>ROUND('geg ll'!K121*VLOOKUP($F177,categorieMatVSO,9,FALSE),2)</f>
        <v>0</v>
      </c>
      <c r="N177" s="526">
        <f>ROUND('geg ll'!L121*VLOOKUP($F177,categorieMatVSO,9,FALSE),2)</f>
        <v>0</v>
      </c>
      <c r="O177" s="526">
        <f>ROUND('geg ll'!M121*VLOOKUP($F177,categorieMatVSO,9,FALSE),2)</f>
        <v>0</v>
      </c>
      <c r="P177" s="34"/>
      <c r="Q177" s="25"/>
    </row>
    <row r="178" spans="2:17" x14ac:dyDescent="0.2">
      <c r="B178" s="21"/>
      <c r="C178" s="34"/>
      <c r="D178" s="566" t="str">
        <f>+D62</f>
        <v>School 7</v>
      </c>
      <c r="E178" s="34"/>
      <c r="F178" s="187" t="str">
        <f t="shared" si="10"/>
        <v>categorie 1</v>
      </c>
      <c r="G178" s="70"/>
      <c r="H178" s="34"/>
      <c r="I178" s="526">
        <f>ROUND('geg ll'!G123*VLOOKUP($F178,categorieMatVSO,8,FALSE),2)</f>
        <v>0</v>
      </c>
      <c r="J178" s="1535"/>
      <c r="K178" s="526">
        <f>ROUND('geg ll'!H123*VLOOKUP($F178,categorieMatVSO,7,FALSE),2)</f>
        <v>0</v>
      </c>
      <c r="L178" s="526">
        <f>ROUND('geg ll'!I123*VLOOKUP($F178,categorieMatVSO,8,FALSE),2)</f>
        <v>0</v>
      </c>
      <c r="M178" s="526">
        <f>ROUND('geg ll'!J123*VLOOKUP($F178,categorieMatVSO,9,FALSE),2)</f>
        <v>0</v>
      </c>
      <c r="N178" s="526">
        <f>ROUND('geg ll'!K123*VLOOKUP($F178,categorieMatVSO,9,FALSE),2)</f>
        <v>0</v>
      </c>
      <c r="O178" s="526">
        <f>ROUND('geg ll'!L123*VLOOKUP($F178,categorieMatVSO,9,FALSE),2)</f>
        <v>0</v>
      </c>
      <c r="P178" s="34"/>
      <c r="Q178" s="25"/>
    </row>
    <row r="179" spans="2:17" x14ac:dyDescent="0.2">
      <c r="B179" s="21"/>
      <c r="C179" s="34"/>
      <c r="D179" s="187" t="s">
        <v>15</v>
      </c>
      <c r="E179" s="34"/>
      <c r="F179" s="187" t="str">
        <f t="shared" si="10"/>
        <v>categorie 2</v>
      </c>
      <c r="G179" s="70"/>
      <c r="H179" s="34"/>
      <c r="I179" s="526">
        <f>ROUND('geg ll'!G124*VLOOKUP($F179,categorieMatVSO,8,FALSE),2)</f>
        <v>0</v>
      </c>
      <c r="J179" s="1535"/>
      <c r="K179" s="526">
        <f>ROUND('geg ll'!H124*VLOOKUP($F179,categorieMatVSO,7,FALSE),2)</f>
        <v>0</v>
      </c>
      <c r="L179" s="526">
        <f>ROUND('geg ll'!I124*VLOOKUP($F179,categorieMatVSO,8,FALSE),2)</f>
        <v>0</v>
      </c>
      <c r="M179" s="526">
        <f>ROUND('geg ll'!J124*VLOOKUP($F179,categorieMatVSO,9,FALSE),2)</f>
        <v>0</v>
      </c>
      <c r="N179" s="526">
        <f>ROUND('geg ll'!K124*VLOOKUP($F179,categorieMatVSO,9,FALSE),2)</f>
        <v>0</v>
      </c>
      <c r="O179" s="526">
        <f>ROUND('geg ll'!L124*VLOOKUP($F179,categorieMatVSO,9,FALSE),2)</f>
        <v>0</v>
      </c>
      <c r="P179" s="34"/>
      <c r="Q179" s="25"/>
    </row>
    <row r="180" spans="2:17" x14ac:dyDescent="0.2">
      <c r="B180" s="21"/>
      <c r="C180" s="34"/>
      <c r="D180" s="187"/>
      <c r="E180" s="34"/>
      <c r="F180" s="187" t="str">
        <f t="shared" si="10"/>
        <v>categorie 3</v>
      </c>
      <c r="G180" s="70"/>
      <c r="H180" s="34"/>
      <c r="I180" s="526">
        <f>ROUND('geg ll'!G125*VLOOKUP($F180,categorieMatVSO,8,FALSE),2)</f>
        <v>0</v>
      </c>
      <c r="J180" s="1535"/>
      <c r="K180" s="526">
        <f>ROUND('geg ll'!H125*VLOOKUP($F180,categorieMatVSO,7,FALSE),2)</f>
        <v>0</v>
      </c>
      <c r="L180" s="526">
        <f>ROUND('geg ll'!I125*VLOOKUP($F180,categorieMatVSO,8,FALSE),2)</f>
        <v>0</v>
      </c>
      <c r="M180" s="526">
        <f>ROUND('geg ll'!J125*VLOOKUP($F180,categorieMatVSO,9,FALSE),2)</f>
        <v>0</v>
      </c>
      <c r="N180" s="526">
        <f>ROUND('geg ll'!K125*VLOOKUP($F180,categorieMatVSO,9,FALSE),2)</f>
        <v>0</v>
      </c>
      <c r="O180" s="526">
        <f>ROUND('geg ll'!L125*VLOOKUP($F180,categorieMatVSO,9,FALSE),2)</f>
        <v>0</v>
      </c>
      <c r="P180" s="34"/>
      <c r="Q180" s="25"/>
    </row>
    <row r="181" spans="2:17" x14ac:dyDescent="0.2">
      <c r="B181" s="21"/>
      <c r="C181" s="34"/>
      <c r="D181" s="566" t="str">
        <f>+D65</f>
        <v>School 8</v>
      </c>
      <c r="E181" s="34"/>
      <c r="F181" s="187" t="str">
        <f t="shared" si="10"/>
        <v>categorie 1</v>
      </c>
      <c r="G181" s="70"/>
      <c r="H181" s="34"/>
      <c r="I181" s="526">
        <f>ROUND('geg ll'!G127*VLOOKUP($F181,categorieMatVSO,8,FALSE),2)</f>
        <v>0</v>
      </c>
      <c r="J181" s="1535"/>
      <c r="K181" s="526">
        <f>ROUND('geg ll'!H127*VLOOKUP($F181,categorieMatVSO,7,FALSE),2)</f>
        <v>0</v>
      </c>
      <c r="L181" s="526">
        <f>ROUND('geg ll'!I127*VLOOKUP($F181,categorieMatVSO,8,FALSE),2)</f>
        <v>0</v>
      </c>
      <c r="M181" s="526">
        <f>ROUND('geg ll'!J127*VLOOKUP($F181,categorieMatVSO,9,FALSE),2)</f>
        <v>0</v>
      </c>
      <c r="N181" s="526">
        <f>ROUND('geg ll'!K127*VLOOKUP($F181,categorieMatVSO,9,FALSE),2)</f>
        <v>0</v>
      </c>
      <c r="O181" s="526">
        <f>ROUND('geg ll'!L127*VLOOKUP($F181,categorieMatVSO,9,FALSE),2)</f>
        <v>0</v>
      </c>
      <c r="P181" s="34"/>
      <c r="Q181" s="25"/>
    </row>
    <row r="182" spans="2:17" x14ac:dyDescent="0.2">
      <c r="B182" s="21"/>
      <c r="C182" s="34"/>
      <c r="D182" s="187" t="s">
        <v>15</v>
      </c>
      <c r="E182" s="34"/>
      <c r="F182" s="187" t="str">
        <f t="shared" si="10"/>
        <v>categorie 2</v>
      </c>
      <c r="G182" s="70"/>
      <c r="H182" s="34"/>
      <c r="I182" s="526">
        <f>ROUND('geg ll'!G128*VLOOKUP($F182,categorieMatVSO,8,FALSE),2)</f>
        <v>0</v>
      </c>
      <c r="J182" s="1535"/>
      <c r="K182" s="526">
        <f>ROUND('geg ll'!H128*VLOOKUP($F182,categorieMatVSO,7,FALSE),2)</f>
        <v>0</v>
      </c>
      <c r="L182" s="526">
        <f>ROUND('geg ll'!I128*VLOOKUP($F182,categorieMatVSO,8,FALSE),2)</f>
        <v>0</v>
      </c>
      <c r="M182" s="526">
        <f>ROUND('geg ll'!J128*VLOOKUP($F182,categorieMatVSO,9,FALSE),2)</f>
        <v>0</v>
      </c>
      <c r="N182" s="526">
        <f>ROUND('geg ll'!K128*VLOOKUP($F182,categorieMatVSO,9,FALSE),2)</f>
        <v>0</v>
      </c>
      <c r="O182" s="526">
        <f>ROUND('geg ll'!L128*VLOOKUP($F182,categorieMatVSO,9,FALSE),2)</f>
        <v>0</v>
      </c>
      <c r="P182" s="34"/>
      <c r="Q182" s="25"/>
    </row>
    <row r="183" spans="2:17" x14ac:dyDescent="0.2">
      <c r="B183" s="21"/>
      <c r="C183" s="34"/>
      <c r="D183" s="187"/>
      <c r="E183" s="34"/>
      <c r="F183" s="187" t="str">
        <f t="shared" si="10"/>
        <v>categorie 3</v>
      </c>
      <c r="G183" s="70"/>
      <c r="H183" s="34"/>
      <c r="I183" s="526">
        <f>ROUND('geg ll'!G129*VLOOKUP($F183,categorieMatVSO,8,FALSE),2)</f>
        <v>0</v>
      </c>
      <c r="J183" s="1535"/>
      <c r="K183" s="526">
        <f>ROUND('geg ll'!H129*VLOOKUP($F183,categorieMatVSO,7,FALSE),2)</f>
        <v>0</v>
      </c>
      <c r="L183" s="526">
        <f>ROUND('geg ll'!I129*VLOOKUP($F183,categorieMatVSO,8,FALSE),2)</f>
        <v>0</v>
      </c>
      <c r="M183" s="526">
        <f>ROUND('geg ll'!J129*VLOOKUP($F183,categorieMatVSO,9,FALSE),2)</f>
        <v>0</v>
      </c>
      <c r="N183" s="526">
        <f>ROUND('geg ll'!K129*VLOOKUP($F183,categorieMatVSO,9,FALSE),2)</f>
        <v>0</v>
      </c>
      <c r="O183" s="526">
        <f>ROUND('geg ll'!L129*VLOOKUP($F183,categorieMatVSO,9,FALSE),2)</f>
        <v>0</v>
      </c>
      <c r="P183" s="34"/>
      <c r="Q183" s="25"/>
    </row>
    <row r="184" spans="2:17" x14ac:dyDescent="0.2">
      <c r="B184" s="21"/>
      <c r="C184" s="34"/>
      <c r="D184" s="566" t="str">
        <f>+D68</f>
        <v>School 9</v>
      </c>
      <c r="E184" s="34"/>
      <c r="F184" s="187" t="str">
        <f t="shared" si="10"/>
        <v>categorie 1</v>
      </c>
      <c r="G184" s="70"/>
      <c r="H184" s="34"/>
      <c r="I184" s="526">
        <f>ROUND('geg ll'!G131*VLOOKUP($F184,categorieMatVSO,8,FALSE),2)</f>
        <v>0</v>
      </c>
      <c r="J184" s="1535"/>
      <c r="K184" s="526">
        <f>ROUND('geg ll'!H131*VLOOKUP($F184,categorieMatVSO,7,FALSE),2)</f>
        <v>0</v>
      </c>
      <c r="L184" s="526">
        <f>ROUND('geg ll'!I131*VLOOKUP($F184,categorieMatVSO,8,FALSE),2)</f>
        <v>0</v>
      </c>
      <c r="M184" s="526">
        <f>ROUND('geg ll'!J131*VLOOKUP($F184,categorieMatVSO,9,FALSE),2)</f>
        <v>0</v>
      </c>
      <c r="N184" s="526">
        <f>ROUND('geg ll'!K131*VLOOKUP($F184,categorieMatVSO,9,FALSE),2)</f>
        <v>0</v>
      </c>
      <c r="O184" s="526">
        <f>ROUND('geg ll'!L131*VLOOKUP($F184,categorieMatVSO,9,FALSE),2)</f>
        <v>0</v>
      </c>
      <c r="P184" s="34"/>
      <c r="Q184" s="25"/>
    </row>
    <row r="185" spans="2:17" x14ac:dyDescent="0.2">
      <c r="B185" s="21"/>
      <c r="C185" s="34"/>
      <c r="D185" s="187" t="s">
        <v>15</v>
      </c>
      <c r="E185" s="34"/>
      <c r="F185" s="187" t="str">
        <f t="shared" si="10"/>
        <v>categorie 2</v>
      </c>
      <c r="G185" s="70"/>
      <c r="H185" s="34"/>
      <c r="I185" s="526">
        <f>ROUND('geg ll'!G132*VLOOKUP($F185,categorieMatVSO,8,FALSE),2)</f>
        <v>0</v>
      </c>
      <c r="J185" s="1535"/>
      <c r="K185" s="526">
        <f>ROUND('geg ll'!H132*VLOOKUP($F185,categorieMatVSO,7,FALSE),2)</f>
        <v>0</v>
      </c>
      <c r="L185" s="526">
        <f>ROUND('geg ll'!I132*VLOOKUP($F185,categorieMatVSO,8,FALSE),2)</f>
        <v>0</v>
      </c>
      <c r="M185" s="526">
        <f>ROUND('geg ll'!J132*VLOOKUP($F185,categorieMatVSO,9,FALSE),2)</f>
        <v>0</v>
      </c>
      <c r="N185" s="526">
        <f>ROUND('geg ll'!K132*VLOOKUP($F185,categorieMatVSO,9,FALSE),2)</f>
        <v>0</v>
      </c>
      <c r="O185" s="526">
        <f>ROUND('geg ll'!L132*VLOOKUP($F185,categorieMatVSO,9,FALSE),2)</f>
        <v>0</v>
      </c>
      <c r="P185" s="34"/>
      <c r="Q185" s="25"/>
    </row>
    <row r="186" spans="2:17" x14ac:dyDescent="0.2">
      <c r="B186" s="21"/>
      <c r="C186" s="34"/>
      <c r="D186" s="187"/>
      <c r="E186" s="34"/>
      <c r="F186" s="187" t="str">
        <f t="shared" si="10"/>
        <v>categorie 3</v>
      </c>
      <c r="G186" s="70"/>
      <c r="H186" s="34"/>
      <c r="I186" s="526">
        <f>ROUND('geg ll'!G133*VLOOKUP($F185,categorieMatVSO,8,FALSE),2)</f>
        <v>0</v>
      </c>
      <c r="J186" s="1535"/>
      <c r="K186" s="526">
        <f>ROUND('geg ll'!H133*VLOOKUP($F185,categorieMatVSO,7,FALSE),2)</f>
        <v>0</v>
      </c>
      <c r="L186" s="526">
        <f>ROUND('geg ll'!I133*VLOOKUP($F185,categorieMatVSO,8,FALSE),2)</f>
        <v>0</v>
      </c>
      <c r="M186" s="526">
        <f>ROUND('geg ll'!J133*VLOOKUP($F185,categorieMatVSO,9,FALSE),2)</f>
        <v>0</v>
      </c>
      <c r="N186" s="526">
        <f>ROUND('geg ll'!K133*VLOOKUP($F185,categorieMatVSO,9,FALSE),2)</f>
        <v>0</v>
      </c>
      <c r="O186" s="526">
        <f>ROUND('geg ll'!L133*VLOOKUP($F185,categorieMatVSO,9,FALSE),2)</f>
        <v>0</v>
      </c>
      <c r="P186" s="34"/>
      <c r="Q186" s="25"/>
    </row>
    <row r="187" spans="2:17" x14ac:dyDescent="0.2">
      <c r="B187" s="21"/>
      <c r="C187" s="34"/>
      <c r="D187" s="566" t="str">
        <f>+D71</f>
        <v>School 10</v>
      </c>
      <c r="E187" s="34"/>
      <c r="F187" s="187" t="str">
        <f t="shared" si="10"/>
        <v>categorie 1</v>
      </c>
      <c r="G187" s="70"/>
      <c r="H187" s="34"/>
      <c r="I187" s="526">
        <f>ROUND('geg ll'!G135*VLOOKUP($F187,categorieMatVSO,8,FALSE),2)</f>
        <v>0</v>
      </c>
      <c r="J187" s="1535"/>
      <c r="K187" s="526">
        <f>ROUND('geg ll'!H135*VLOOKUP($F187,categorieMatVSO,7,FALSE),2)</f>
        <v>0</v>
      </c>
      <c r="L187" s="526">
        <f>ROUND('geg ll'!I135*VLOOKUP($F187,categorieMatVSO,8,FALSE),2)</f>
        <v>0</v>
      </c>
      <c r="M187" s="526">
        <f>ROUND('geg ll'!J135*VLOOKUP($F187,categorieMatVSO,9,FALSE),2)</f>
        <v>0</v>
      </c>
      <c r="N187" s="526">
        <f>ROUND('geg ll'!K135*VLOOKUP($F187,categorieMatVSO,9,FALSE),2)</f>
        <v>0</v>
      </c>
      <c r="O187" s="526">
        <f>ROUND('geg ll'!L135*VLOOKUP($F187,categorieMatVSO,9,FALSE),2)</f>
        <v>0</v>
      </c>
      <c r="P187" s="34"/>
      <c r="Q187" s="25"/>
    </row>
    <row r="188" spans="2:17" x14ac:dyDescent="0.2">
      <c r="B188" s="21"/>
      <c r="C188" s="34"/>
      <c r="D188" s="187" t="s">
        <v>15</v>
      </c>
      <c r="E188" s="34"/>
      <c r="F188" s="187" t="str">
        <f t="shared" si="10"/>
        <v>categorie 2</v>
      </c>
      <c r="G188" s="70"/>
      <c r="H188" s="34"/>
      <c r="I188" s="526">
        <f>ROUND('geg ll'!G136*VLOOKUP($F188,categorieMatVSO,8,FALSE),2)</f>
        <v>0</v>
      </c>
      <c r="J188" s="1535"/>
      <c r="K188" s="526">
        <f>ROUND('geg ll'!H136*VLOOKUP($F188,categorieMatVSO,7,FALSE),2)</f>
        <v>0</v>
      </c>
      <c r="L188" s="526">
        <f>ROUND('geg ll'!I136*VLOOKUP($F188,categorieMatVSO,8,FALSE),2)</f>
        <v>0</v>
      </c>
      <c r="M188" s="526">
        <f>ROUND('geg ll'!J136*VLOOKUP($F188,categorieMatVSO,9,FALSE),2)</f>
        <v>0</v>
      </c>
      <c r="N188" s="526">
        <f>ROUND('geg ll'!K136*VLOOKUP($F188,categorieMatVSO,9,FALSE),2)</f>
        <v>0</v>
      </c>
      <c r="O188" s="526">
        <f>ROUND('geg ll'!L136*VLOOKUP($F188,categorieMatVSO,9,FALSE),2)</f>
        <v>0</v>
      </c>
      <c r="P188" s="34"/>
      <c r="Q188" s="25"/>
    </row>
    <row r="189" spans="2:17" x14ac:dyDescent="0.2">
      <c r="B189" s="21"/>
      <c r="C189" s="34"/>
      <c r="D189" s="187"/>
      <c r="E189" s="34"/>
      <c r="F189" s="187" t="str">
        <f t="shared" si="10"/>
        <v>categorie 3</v>
      </c>
      <c r="G189" s="70"/>
      <c r="H189" s="34"/>
      <c r="I189" s="526">
        <f>ROUND('geg ll'!G137*VLOOKUP($F189,categorieMatVSO,8,FALSE),2)</f>
        <v>0</v>
      </c>
      <c r="J189" s="1535"/>
      <c r="K189" s="526">
        <f>ROUND('geg ll'!H137*VLOOKUP($F189,categorieMatVSO,7,FALSE),2)</f>
        <v>0</v>
      </c>
      <c r="L189" s="526">
        <f>ROUND('geg ll'!I137*VLOOKUP($F189,categorieMatVSO,8,FALSE),2)</f>
        <v>0</v>
      </c>
      <c r="M189" s="526">
        <f>ROUND('geg ll'!J137*VLOOKUP($F189,categorieMatVSO,9,FALSE),2)</f>
        <v>0</v>
      </c>
      <c r="N189" s="526">
        <f>ROUND('geg ll'!K137*VLOOKUP($F189,categorieMatVSO,9,FALSE),2)</f>
        <v>0</v>
      </c>
      <c r="O189" s="526">
        <f>ROUND('geg ll'!L137*VLOOKUP($F189,categorieMatVSO,9,FALSE),2)</f>
        <v>0</v>
      </c>
      <c r="P189" s="34"/>
      <c r="Q189" s="25"/>
    </row>
    <row r="190" spans="2:17" x14ac:dyDescent="0.2">
      <c r="B190" s="21"/>
      <c r="C190" s="34"/>
      <c r="D190" s="566" t="str">
        <f>+D74</f>
        <v>School 11</v>
      </c>
      <c r="E190" s="34"/>
      <c r="F190" s="187" t="str">
        <f t="shared" si="10"/>
        <v>categorie 1</v>
      </c>
      <c r="G190" s="70"/>
      <c r="H190" s="34"/>
      <c r="I190" s="526">
        <f>ROUND('geg ll'!G139*VLOOKUP($F190,categorieMatVSO,8,FALSE),2)</f>
        <v>0</v>
      </c>
      <c r="J190" s="1535"/>
      <c r="K190" s="526">
        <f>ROUND('geg ll'!H139*VLOOKUP($F190,categorieMatVSO,7,FALSE),2)</f>
        <v>0</v>
      </c>
      <c r="L190" s="526">
        <f>ROUND('geg ll'!I139*VLOOKUP($F190,categorieMatVSO,8,FALSE),2)</f>
        <v>0</v>
      </c>
      <c r="M190" s="526">
        <f>ROUND('geg ll'!J139*VLOOKUP($F190,categorieMatVSO,9,FALSE),2)</f>
        <v>0</v>
      </c>
      <c r="N190" s="526">
        <f>ROUND('geg ll'!K139*VLOOKUP($F190,categorieMatVSO,9,FALSE),2)</f>
        <v>0</v>
      </c>
      <c r="O190" s="526">
        <f>ROUND('geg ll'!L139*VLOOKUP($F190,categorieMatVSO,9,FALSE),2)</f>
        <v>0</v>
      </c>
      <c r="P190" s="34"/>
      <c r="Q190" s="25"/>
    </row>
    <row r="191" spans="2:17" x14ac:dyDescent="0.2">
      <c r="B191" s="21"/>
      <c r="C191" s="34"/>
      <c r="D191" s="187" t="s">
        <v>15</v>
      </c>
      <c r="E191" s="34"/>
      <c r="F191" s="187" t="str">
        <f t="shared" si="10"/>
        <v>categorie 2</v>
      </c>
      <c r="G191" s="70"/>
      <c r="H191" s="34"/>
      <c r="I191" s="526">
        <f>ROUND('geg ll'!G140*VLOOKUP($F191,categorieMatVSO,8,FALSE),2)</f>
        <v>0</v>
      </c>
      <c r="J191" s="1535"/>
      <c r="K191" s="526">
        <f>ROUND('geg ll'!H140*VLOOKUP($F191,categorieMatVSO,7,FALSE),2)</f>
        <v>0</v>
      </c>
      <c r="L191" s="526">
        <f>ROUND('geg ll'!I140*VLOOKUP($F191,categorieMatVSO,8,FALSE),2)</f>
        <v>0</v>
      </c>
      <c r="M191" s="526">
        <f>ROUND('geg ll'!J140*VLOOKUP($F191,categorieMatVSO,9,FALSE),2)</f>
        <v>0</v>
      </c>
      <c r="N191" s="526">
        <f>ROUND('geg ll'!K140*VLOOKUP($F191,categorieMatVSO,9,FALSE),2)</f>
        <v>0</v>
      </c>
      <c r="O191" s="526">
        <f>ROUND('geg ll'!L140*VLOOKUP($F191,categorieMatVSO,9,FALSE),2)</f>
        <v>0</v>
      </c>
      <c r="P191" s="34"/>
      <c r="Q191" s="25"/>
    </row>
    <row r="192" spans="2:17" x14ac:dyDescent="0.2">
      <c r="B192" s="21"/>
      <c r="C192" s="34"/>
      <c r="D192" s="187"/>
      <c r="E192" s="34"/>
      <c r="F192" s="187" t="str">
        <f t="shared" si="10"/>
        <v>categorie 3</v>
      </c>
      <c r="G192" s="70"/>
      <c r="H192" s="34"/>
      <c r="I192" s="526">
        <f>ROUND('geg ll'!G141*VLOOKUP($F192,categorieMatVSO,8,FALSE),2)</f>
        <v>0</v>
      </c>
      <c r="J192" s="1535"/>
      <c r="K192" s="526">
        <f>ROUND('geg ll'!H141*VLOOKUP($F192,categorieMatVSO,7,FALSE),2)</f>
        <v>0</v>
      </c>
      <c r="L192" s="526">
        <f>ROUND('geg ll'!I141*VLOOKUP($F192,categorieMatVSO,8,FALSE),2)</f>
        <v>0</v>
      </c>
      <c r="M192" s="526">
        <f>ROUND('geg ll'!J141*VLOOKUP($F192,categorieMatVSO,9,FALSE),2)</f>
        <v>0</v>
      </c>
      <c r="N192" s="526">
        <f>ROUND('geg ll'!K141*VLOOKUP($F192,categorieMatVSO,9,FALSE),2)</f>
        <v>0</v>
      </c>
      <c r="O192" s="526">
        <f>ROUND('geg ll'!L141*VLOOKUP($F192,categorieMatVSO,9,FALSE),2)</f>
        <v>0</v>
      </c>
      <c r="P192" s="34"/>
      <c r="Q192" s="25"/>
    </row>
    <row r="193" spans="2:34" x14ac:dyDescent="0.2">
      <c r="B193" s="21"/>
      <c r="C193" s="34"/>
      <c r="D193" s="566" t="str">
        <f>+D77</f>
        <v>School 12</v>
      </c>
      <c r="E193" s="34"/>
      <c r="F193" s="187" t="str">
        <f t="shared" si="10"/>
        <v>categorie 1</v>
      </c>
      <c r="G193" s="70"/>
      <c r="H193" s="34"/>
      <c r="I193" s="526">
        <f>ROUND('geg ll'!G143*VLOOKUP($F193,categorieMatVSO,8,FALSE),2)</f>
        <v>0</v>
      </c>
      <c r="J193" s="1535"/>
      <c r="K193" s="526">
        <f>ROUND('geg ll'!H143*VLOOKUP($F193,categorieMatVSO,7,FALSE),2)</f>
        <v>0</v>
      </c>
      <c r="L193" s="526">
        <f>ROUND('geg ll'!I143*VLOOKUP($F193,categorieMatVSO,8,FALSE),2)</f>
        <v>0</v>
      </c>
      <c r="M193" s="526">
        <f>ROUND('geg ll'!J143*VLOOKUP($F193,categorieMatVSO,9,FALSE),2)</f>
        <v>0</v>
      </c>
      <c r="N193" s="526">
        <f>ROUND('geg ll'!K143*VLOOKUP($F193,categorieMatVSO,9,FALSE),2)</f>
        <v>0</v>
      </c>
      <c r="O193" s="526">
        <f>ROUND('geg ll'!L143*VLOOKUP($F193,categorieMatVSO,9,FALSE),2)</f>
        <v>0</v>
      </c>
      <c r="P193" s="34"/>
      <c r="Q193" s="25"/>
    </row>
    <row r="194" spans="2:34" x14ac:dyDescent="0.2">
      <c r="B194" s="21"/>
      <c r="C194" s="34"/>
      <c r="D194" s="187" t="s">
        <v>15</v>
      </c>
      <c r="E194" s="34"/>
      <c r="F194" s="187" t="str">
        <f t="shared" si="10"/>
        <v>categorie 2</v>
      </c>
      <c r="G194" s="70"/>
      <c r="H194" s="34"/>
      <c r="I194" s="526">
        <f>ROUND('geg ll'!G144*VLOOKUP($F194,categorieMatVSO,8,FALSE),2)</f>
        <v>0</v>
      </c>
      <c r="J194" s="1535"/>
      <c r="K194" s="526">
        <f>ROUND('geg ll'!H144*VLOOKUP($F194,categorieMatVSO,7,FALSE),2)</f>
        <v>0</v>
      </c>
      <c r="L194" s="526">
        <f>ROUND('geg ll'!I144*VLOOKUP($F194,categorieMatVSO,8,FALSE),2)</f>
        <v>0</v>
      </c>
      <c r="M194" s="526">
        <f>ROUND('geg ll'!J144*VLOOKUP($F194,categorieMatVSO,9,FALSE),2)</f>
        <v>0</v>
      </c>
      <c r="N194" s="526">
        <f>ROUND('geg ll'!K144*VLOOKUP($F194,categorieMatVSO,9,FALSE),2)</f>
        <v>0</v>
      </c>
      <c r="O194" s="526">
        <f>ROUND('geg ll'!L144*VLOOKUP($F194,categorieMatVSO,9,FALSE),2)</f>
        <v>0</v>
      </c>
      <c r="P194" s="34"/>
      <c r="Q194" s="25"/>
    </row>
    <row r="195" spans="2:34" x14ac:dyDescent="0.2">
      <c r="B195" s="21"/>
      <c r="C195" s="34"/>
      <c r="D195" s="187"/>
      <c r="E195" s="34"/>
      <c r="F195" s="187" t="str">
        <f t="shared" si="10"/>
        <v>categorie 3</v>
      </c>
      <c r="G195" s="70"/>
      <c r="H195" s="34"/>
      <c r="I195" s="526">
        <f>ROUND('geg ll'!G145*VLOOKUP($F195,categorieMatVSO,8,FALSE),2)</f>
        <v>0</v>
      </c>
      <c r="J195" s="1535"/>
      <c r="K195" s="526">
        <f>ROUND('geg ll'!H145*VLOOKUP($F195,categorieMatVSO,7,FALSE),2)</f>
        <v>0</v>
      </c>
      <c r="L195" s="526">
        <f>ROUND('geg ll'!I145*VLOOKUP($F195,categorieMatVSO,8,FALSE),2)</f>
        <v>0</v>
      </c>
      <c r="M195" s="526">
        <f>ROUND('geg ll'!J145*VLOOKUP($F195,categorieMatVSO,9,FALSE),2)</f>
        <v>0</v>
      </c>
      <c r="N195" s="526">
        <f>ROUND('geg ll'!K145*VLOOKUP($F195,categorieMatVSO,9,FALSE),2)</f>
        <v>0</v>
      </c>
      <c r="O195" s="526">
        <f>ROUND('geg ll'!L145*VLOOKUP($F195,categorieMatVSO,9,FALSE),2)</f>
        <v>0</v>
      </c>
      <c r="P195" s="34"/>
      <c r="Q195" s="25"/>
    </row>
    <row r="196" spans="2:34" x14ac:dyDescent="0.2">
      <c r="B196" s="21"/>
      <c r="C196" s="34"/>
      <c r="D196" s="566" t="str">
        <f>+D80</f>
        <v>School 13</v>
      </c>
      <c r="E196" s="34"/>
      <c r="F196" s="187" t="str">
        <f t="shared" si="10"/>
        <v>categorie 1</v>
      </c>
      <c r="G196" s="70"/>
      <c r="H196" s="34"/>
      <c r="I196" s="526">
        <f>ROUND('geg ll'!G147*VLOOKUP($F195,categorieMatVSO,8,FALSE),2)</f>
        <v>0</v>
      </c>
      <c r="J196" s="1535"/>
      <c r="K196" s="526">
        <f>ROUND('geg ll'!H147*VLOOKUP($F195,categorieMatVSO,7,FALSE),2)</f>
        <v>0</v>
      </c>
      <c r="L196" s="526">
        <f>ROUND('geg ll'!I147*VLOOKUP($F195,categorieMatVSO,8,FALSE),2)</f>
        <v>0</v>
      </c>
      <c r="M196" s="526">
        <f>ROUND('geg ll'!J147*VLOOKUP($F195,categorieMatVSO,9,FALSE),2)</f>
        <v>0</v>
      </c>
      <c r="N196" s="526">
        <f>ROUND('geg ll'!K147*VLOOKUP($F195,categorieMatVSO,9,FALSE),2)</f>
        <v>0</v>
      </c>
      <c r="O196" s="526">
        <f>ROUND('geg ll'!L147*VLOOKUP($F195,categorieMatVSO,9,FALSE),2)</f>
        <v>0</v>
      </c>
      <c r="P196" s="34"/>
      <c r="Q196" s="25"/>
    </row>
    <row r="197" spans="2:34" x14ac:dyDescent="0.2">
      <c r="B197" s="21"/>
      <c r="C197" s="34"/>
      <c r="D197" s="187" t="s">
        <v>15</v>
      </c>
      <c r="E197" s="34"/>
      <c r="F197" s="187" t="str">
        <f t="shared" si="10"/>
        <v>categorie 2</v>
      </c>
      <c r="G197" s="70"/>
      <c r="H197" s="34"/>
      <c r="I197" s="526">
        <f>ROUND('geg ll'!G148*VLOOKUP($F197,categorieMatVSO,8,FALSE),2)</f>
        <v>0</v>
      </c>
      <c r="J197" s="1535"/>
      <c r="K197" s="526">
        <f>ROUND('geg ll'!H148*VLOOKUP($F197,categorieMatVSO,7,FALSE),2)</f>
        <v>0</v>
      </c>
      <c r="L197" s="526">
        <f>ROUND('geg ll'!I148*VLOOKUP($F197,categorieMatVSO,8,FALSE),2)</f>
        <v>0</v>
      </c>
      <c r="M197" s="526">
        <f>ROUND('geg ll'!J148*VLOOKUP($F197,categorieMatVSO,9,FALSE),2)</f>
        <v>0</v>
      </c>
      <c r="N197" s="526">
        <f>ROUND('geg ll'!K148*VLOOKUP($F197,categorieMatVSO,9,FALSE),2)</f>
        <v>0</v>
      </c>
      <c r="O197" s="526">
        <f>ROUND('geg ll'!L148*VLOOKUP($F197,categorieMatVSO,9,FALSE),2)</f>
        <v>0</v>
      </c>
      <c r="P197" s="34"/>
      <c r="Q197" s="25"/>
    </row>
    <row r="198" spans="2:34" x14ac:dyDescent="0.2">
      <c r="B198" s="21"/>
      <c r="C198" s="34"/>
      <c r="D198" s="187"/>
      <c r="E198" s="34"/>
      <c r="F198" s="187" t="str">
        <f t="shared" si="10"/>
        <v>categorie 3</v>
      </c>
      <c r="G198" s="70"/>
      <c r="H198" s="34"/>
      <c r="I198" s="526">
        <f>ROUND('geg ll'!G149*VLOOKUP($F198,categorieMatVSO,8,FALSE),2)</f>
        <v>0</v>
      </c>
      <c r="J198" s="1535"/>
      <c r="K198" s="526">
        <f>ROUND('geg ll'!H149*VLOOKUP($F198,categorieMatVSO,7,FALSE),2)</f>
        <v>0</v>
      </c>
      <c r="L198" s="526">
        <f>ROUND('geg ll'!I149*VLOOKUP($F198,categorieMatVSO,8,FALSE),2)</f>
        <v>0</v>
      </c>
      <c r="M198" s="526">
        <f>ROUND('geg ll'!J149*VLOOKUP($F198,categorieMatVSO,9,FALSE),2)</f>
        <v>0</v>
      </c>
      <c r="N198" s="526">
        <f>ROUND('geg ll'!K149*VLOOKUP($F198,categorieMatVSO,9,FALSE),2)</f>
        <v>0</v>
      </c>
      <c r="O198" s="526">
        <f>ROUND('geg ll'!L149*VLOOKUP($F198,categorieMatVSO,9,FALSE),2)</f>
        <v>0</v>
      </c>
      <c r="P198" s="34"/>
      <c r="Q198" s="25"/>
    </row>
    <row r="199" spans="2:34" x14ac:dyDescent="0.2">
      <c r="B199" s="21"/>
      <c r="C199" s="34"/>
      <c r="D199" s="566" t="str">
        <f>+D83</f>
        <v>School 14</v>
      </c>
      <c r="E199" s="34"/>
      <c r="F199" s="187" t="str">
        <f t="shared" si="10"/>
        <v>categorie 1</v>
      </c>
      <c r="G199" s="70"/>
      <c r="H199" s="34"/>
      <c r="I199" s="526">
        <f>ROUND('geg ll'!G151*VLOOKUP($F199,categorieMatVSO,8,FALSE),2)</f>
        <v>0</v>
      </c>
      <c r="J199" s="1535"/>
      <c r="K199" s="526">
        <f>ROUND('geg ll'!H151*VLOOKUP($F199,categorieMatVSO,7,FALSE),2)</f>
        <v>0</v>
      </c>
      <c r="L199" s="526">
        <f>ROUND('geg ll'!I151*VLOOKUP($F199,categorieMatVSO,8,FALSE),2)</f>
        <v>0</v>
      </c>
      <c r="M199" s="526">
        <f>ROUND('geg ll'!J151*VLOOKUP($F199,categorieMatVSO,9,FALSE),2)</f>
        <v>0</v>
      </c>
      <c r="N199" s="526">
        <f>ROUND('geg ll'!K151*VLOOKUP($F199,categorieMatVSO,9,FALSE),2)</f>
        <v>0</v>
      </c>
      <c r="O199" s="526">
        <f>ROUND('geg ll'!L151*VLOOKUP($F199,categorieMatVSO,9,FALSE),2)</f>
        <v>0</v>
      </c>
      <c r="P199" s="34"/>
      <c r="Q199" s="25"/>
    </row>
    <row r="200" spans="2:34" x14ac:dyDescent="0.2">
      <c r="B200" s="21"/>
      <c r="C200" s="34"/>
      <c r="D200" s="187" t="s">
        <v>15</v>
      </c>
      <c r="E200" s="34"/>
      <c r="F200" s="187" t="str">
        <f t="shared" si="10"/>
        <v>categorie 2</v>
      </c>
      <c r="G200" s="70"/>
      <c r="H200" s="34"/>
      <c r="I200" s="526">
        <f>ROUND('geg ll'!G152*VLOOKUP($F200,categorieMatVSO,8,FALSE),2)</f>
        <v>0</v>
      </c>
      <c r="J200" s="1535"/>
      <c r="K200" s="526">
        <f>ROUND('geg ll'!H152*VLOOKUP($F200,categorieMatVSO,7,FALSE),2)</f>
        <v>0</v>
      </c>
      <c r="L200" s="526">
        <f>ROUND('geg ll'!I152*VLOOKUP($F200,categorieMatVSO,8,FALSE),2)</f>
        <v>0</v>
      </c>
      <c r="M200" s="526">
        <f>ROUND('geg ll'!J152*VLOOKUP($F200,categorieMatVSO,9,FALSE),2)</f>
        <v>0</v>
      </c>
      <c r="N200" s="526">
        <f>ROUND('geg ll'!K152*VLOOKUP($F200,categorieMatVSO,9,FALSE),2)</f>
        <v>0</v>
      </c>
      <c r="O200" s="526">
        <f>ROUND('geg ll'!L152*VLOOKUP($F200,categorieMatVSO,9,FALSE),2)</f>
        <v>0</v>
      </c>
      <c r="P200" s="34"/>
      <c r="Q200" s="25"/>
    </row>
    <row r="201" spans="2:34" x14ac:dyDescent="0.2">
      <c r="B201" s="21"/>
      <c r="C201" s="34"/>
      <c r="D201" s="187"/>
      <c r="E201" s="34"/>
      <c r="F201" s="187" t="str">
        <f t="shared" si="10"/>
        <v>categorie 3</v>
      </c>
      <c r="G201" s="70"/>
      <c r="H201" s="34"/>
      <c r="I201" s="526">
        <f>ROUND('geg ll'!G153*VLOOKUP($F201,categorieMatVSO,8,FALSE),2)</f>
        <v>0</v>
      </c>
      <c r="J201" s="1535"/>
      <c r="K201" s="526">
        <f>ROUND('geg ll'!H153*VLOOKUP($F201,categorieMatVSO,7,FALSE),2)</f>
        <v>0</v>
      </c>
      <c r="L201" s="526">
        <f>ROUND('geg ll'!I153*VLOOKUP($F201,categorieMatVSO,8,FALSE),2)</f>
        <v>0</v>
      </c>
      <c r="M201" s="526">
        <f>ROUND('geg ll'!J153*VLOOKUP($F201,categorieMatVSO,9,FALSE),2)</f>
        <v>0</v>
      </c>
      <c r="N201" s="526">
        <f>ROUND('geg ll'!K153*VLOOKUP($F201,categorieMatVSO,9,FALSE),2)</f>
        <v>0</v>
      </c>
      <c r="O201" s="526">
        <f>ROUND('geg ll'!L153*VLOOKUP($F201,categorieMatVSO,9,FALSE),2)</f>
        <v>0</v>
      </c>
      <c r="P201" s="34"/>
      <c r="Q201" s="25"/>
    </row>
    <row r="202" spans="2:34" x14ac:dyDescent="0.2">
      <c r="B202" s="21"/>
      <c r="C202" s="39"/>
      <c r="D202" s="566" t="str">
        <f>+D86</f>
        <v>School 15</v>
      </c>
      <c r="E202" s="34"/>
      <c r="F202" s="187" t="str">
        <f t="shared" si="10"/>
        <v>categorie 1</v>
      </c>
      <c r="G202" s="70"/>
      <c r="H202" s="34"/>
      <c r="I202" s="526">
        <f>ROUND('geg ll'!G155*VLOOKUP($F202,categorieMatVSO,8,FALSE),2)</f>
        <v>0</v>
      </c>
      <c r="J202" s="1535"/>
      <c r="K202" s="526">
        <f>ROUND('geg ll'!H155*VLOOKUP($F202,categorieMatVSO,7,FALSE),2)</f>
        <v>0</v>
      </c>
      <c r="L202" s="526">
        <f>ROUND('geg ll'!I155*VLOOKUP($F202,categorieMatVSO,8,FALSE),2)</f>
        <v>0</v>
      </c>
      <c r="M202" s="526">
        <f>ROUND('geg ll'!J155*VLOOKUP($F202,categorieMatVSO,9,FALSE),2)</f>
        <v>0</v>
      </c>
      <c r="N202" s="526">
        <f>ROUND('geg ll'!K155*VLOOKUP($F202,categorieMatVSO,9,FALSE),2)</f>
        <v>0</v>
      </c>
      <c r="O202" s="526">
        <f>ROUND('geg ll'!L155*VLOOKUP($F202,categorieMatVSO,9,FALSE),2)</f>
        <v>0</v>
      </c>
      <c r="P202" s="39"/>
      <c r="Q202" s="25"/>
    </row>
    <row r="203" spans="2:34" x14ac:dyDescent="0.2">
      <c r="B203" s="21"/>
      <c r="C203" s="39"/>
      <c r="D203" s="187" t="s">
        <v>15</v>
      </c>
      <c r="E203" s="34"/>
      <c r="F203" s="187" t="str">
        <f t="shared" si="10"/>
        <v>categorie 2</v>
      </c>
      <c r="G203" s="70"/>
      <c r="H203" s="34"/>
      <c r="I203" s="526">
        <f>ROUND('geg ll'!G156*VLOOKUP($F203,categorieMatVSO,8,FALSE),2)</f>
        <v>0</v>
      </c>
      <c r="J203" s="1535"/>
      <c r="K203" s="526">
        <f>ROUND('geg ll'!H156*VLOOKUP($F203,categorieMatVSO,7,FALSE),2)</f>
        <v>0</v>
      </c>
      <c r="L203" s="526">
        <f>ROUND('geg ll'!I156*VLOOKUP($F203,categorieMatVSO,8,FALSE),2)</f>
        <v>0</v>
      </c>
      <c r="M203" s="526">
        <f>ROUND('geg ll'!J156*VLOOKUP($F203,categorieMatVSO,9,FALSE),2)</f>
        <v>0</v>
      </c>
      <c r="N203" s="526">
        <f>ROUND('geg ll'!K156*VLOOKUP($F203,categorieMatVSO,9,FALSE),2)</f>
        <v>0</v>
      </c>
      <c r="O203" s="526">
        <f>ROUND('geg ll'!L156*VLOOKUP($F203,categorieMatVSO,9,FALSE),2)</f>
        <v>0</v>
      </c>
      <c r="P203" s="39"/>
      <c r="Q203" s="25"/>
    </row>
    <row r="204" spans="2:34" x14ac:dyDescent="0.2">
      <c r="B204" s="21"/>
      <c r="C204" s="39"/>
      <c r="D204" s="187"/>
      <c r="E204" s="34"/>
      <c r="F204" s="187" t="str">
        <f t="shared" si="10"/>
        <v>categorie 3</v>
      </c>
      <c r="G204" s="70"/>
      <c r="H204" s="34"/>
      <c r="I204" s="526">
        <f>ROUND('geg ll'!G157*VLOOKUP($F204,categorieMatVSO,8,FALSE),2)</f>
        <v>0</v>
      </c>
      <c r="J204" s="1535"/>
      <c r="K204" s="526">
        <f>ROUND('geg ll'!H157*VLOOKUP($F204,categorieMatVSO,7,FALSE),2)</f>
        <v>0</v>
      </c>
      <c r="L204" s="526">
        <f>ROUND('geg ll'!I157*VLOOKUP($F204,categorieMatVSO,8,FALSE),2)</f>
        <v>0</v>
      </c>
      <c r="M204" s="526">
        <f>ROUND('geg ll'!J157*VLOOKUP($F204,categorieMatVSO,9,FALSE),2)</f>
        <v>0</v>
      </c>
      <c r="N204" s="526">
        <f>ROUND('geg ll'!K157*VLOOKUP($F204,categorieMatVSO,9,FALSE),2)</f>
        <v>0</v>
      </c>
      <c r="O204" s="526">
        <f>ROUND('geg ll'!L157*VLOOKUP($F204,categorieMatVSO,9,FALSE),2)</f>
        <v>0</v>
      </c>
      <c r="P204" s="39"/>
      <c r="Q204" s="25"/>
    </row>
    <row r="205" spans="2:34" x14ac:dyDescent="0.2">
      <c r="B205" s="21"/>
      <c r="C205" s="34"/>
      <c r="D205" s="566" t="str">
        <f>+D89</f>
        <v>School 16</v>
      </c>
      <c r="E205" s="34"/>
      <c r="F205" s="187" t="str">
        <f t="shared" ref="F205:F246" si="11">+F89</f>
        <v>categorie 1</v>
      </c>
      <c r="G205" s="70"/>
      <c r="H205" s="34"/>
      <c r="I205" s="526">
        <f>ROUND('geg ll'!G159*VLOOKUP($F205,categorieMatVSO,8,FALSE),2)</f>
        <v>0</v>
      </c>
      <c r="J205" s="1535"/>
      <c r="K205" s="526">
        <f>ROUND('geg ll'!H159*VLOOKUP($F205,categorieMatVSO,7,FALSE),2)</f>
        <v>0</v>
      </c>
      <c r="L205" s="526">
        <f>ROUND('geg ll'!I159*VLOOKUP($F205,categorieMatVSO,8,FALSE),2)</f>
        <v>0</v>
      </c>
      <c r="M205" s="526">
        <f>ROUND('geg ll'!J159*VLOOKUP($F205,categorieMatVSO,9,FALSE),2)</f>
        <v>0</v>
      </c>
      <c r="N205" s="526">
        <f>ROUND('geg ll'!K159*VLOOKUP($F205,categorieMatVSO,9,FALSE),2)</f>
        <v>0</v>
      </c>
      <c r="O205" s="526">
        <f>ROUND('geg ll'!L159*VLOOKUP($F205,categorieMatVSO,9,FALSE),2)</f>
        <v>0</v>
      </c>
      <c r="P205" s="34"/>
      <c r="Q205" s="25"/>
    </row>
    <row r="206" spans="2:34" x14ac:dyDescent="0.2">
      <c r="B206" s="21"/>
      <c r="C206" s="34"/>
      <c r="D206" s="187"/>
      <c r="E206" s="34"/>
      <c r="F206" s="187" t="str">
        <f t="shared" si="11"/>
        <v>categorie 2</v>
      </c>
      <c r="G206" s="70"/>
      <c r="H206" s="34"/>
      <c r="I206" s="526">
        <f>ROUND('geg ll'!G160*VLOOKUP($F205,categorieMatVSO,8,FALSE),2)</f>
        <v>0</v>
      </c>
      <c r="J206" s="1535"/>
      <c r="K206" s="526">
        <f>ROUND('geg ll'!H160*VLOOKUP($F205,categorieMatVSO,7,FALSE),2)</f>
        <v>0</v>
      </c>
      <c r="L206" s="526">
        <f>ROUND('geg ll'!I160*VLOOKUP($F205,categorieMatVSO,8,FALSE),2)</f>
        <v>0</v>
      </c>
      <c r="M206" s="526">
        <f>ROUND('geg ll'!J160*VLOOKUP($F205,categorieMatVSO,9,FALSE),2)</f>
        <v>0</v>
      </c>
      <c r="N206" s="526">
        <f>ROUND('geg ll'!K160*VLOOKUP($F205,categorieMatVSO,9,FALSE),2)</f>
        <v>0</v>
      </c>
      <c r="O206" s="526">
        <f>ROUND('geg ll'!L160*VLOOKUP($F205,categorieMatVSO,9,FALSE),2)</f>
        <v>0</v>
      </c>
      <c r="P206" s="34"/>
      <c r="Q206" s="25"/>
      <c r="S206" s="790"/>
      <c r="T206" s="790"/>
      <c r="U206" s="790"/>
      <c r="V206" s="790"/>
      <c r="W206" s="790"/>
      <c r="X206" s="790"/>
      <c r="Y206" s="790"/>
      <c r="Z206" s="790"/>
      <c r="AA206" s="790"/>
      <c r="AB206" s="790"/>
      <c r="AC206" s="790"/>
      <c r="AD206" s="790"/>
      <c r="AE206" s="790"/>
      <c r="AF206" s="790"/>
      <c r="AG206" s="790"/>
      <c r="AH206" s="790"/>
    </row>
    <row r="207" spans="2:34" x14ac:dyDescent="0.2">
      <c r="B207" s="21"/>
      <c r="C207" s="34"/>
      <c r="D207" s="187"/>
      <c r="E207" s="34"/>
      <c r="F207" s="187" t="str">
        <f t="shared" si="11"/>
        <v>categorie 3</v>
      </c>
      <c r="G207" s="70"/>
      <c r="H207" s="34"/>
      <c r="I207" s="526">
        <f>ROUND('geg ll'!G161*VLOOKUP($F207,categorieMatVSO,8,FALSE),2)</f>
        <v>0</v>
      </c>
      <c r="J207" s="1535"/>
      <c r="K207" s="526">
        <f>ROUND('geg ll'!H161*VLOOKUP($F207,categorieMatVSO,7,FALSE),2)</f>
        <v>0</v>
      </c>
      <c r="L207" s="526">
        <f>ROUND('geg ll'!I161*VLOOKUP($F207,categorieMatVSO,8,FALSE),2)</f>
        <v>0</v>
      </c>
      <c r="M207" s="526">
        <f>ROUND('geg ll'!J161*VLOOKUP($F207,categorieMatVSO,9,FALSE),2)</f>
        <v>0</v>
      </c>
      <c r="N207" s="526">
        <f>ROUND('geg ll'!K161*VLOOKUP($F207,categorieMatVSO,9,FALSE),2)</f>
        <v>0</v>
      </c>
      <c r="O207" s="526">
        <f>ROUND('geg ll'!L161*VLOOKUP($F207,categorieMatVSO,9,FALSE),2)</f>
        <v>0</v>
      </c>
      <c r="P207" s="34"/>
      <c r="Q207" s="25"/>
      <c r="S207" s="790"/>
      <c r="T207" s="790"/>
      <c r="U207" s="790"/>
      <c r="V207" s="790"/>
      <c r="W207" s="790"/>
      <c r="X207" s="790"/>
      <c r="Y207" s="790"/>
      <c r="Z207" s="790"/>
      <c r="AA207" s="790"/>
      <c r="AB207" s="790"/>
      <c r="AC207" s="790"/>
      <c r="AD207" s="790"/>
      <c r="AE207" s="790"/>
      <c r="AF207" s="790"/>
      <c r="AG207" s="790"/>
      <c r="AH207" s="790"/>
    </row>
    <row r="208" spans="2:34" x14ac:dyDescent="0.2">
      <c r="B208" s="21"/>
      <c r="C208" s="34"/>
      <c r="D208" s="566" t="str">
        <f>+D92</f>
        <v>School 17</v>
      </c>
      <c r="E208" s="34"/>
      <c r="F208" s="187" t="str">
        <f t="shared" si="11"/>
        <v>categorie 1</v>
      </c>
      <c r="G208" s="70"/>
      <c r="H208" s="34"/>
      <c r="I208" s="526">
        <f>ROUND('geg ll'!G163*VLOOKUP($F208,categorieMatVSO,8,FALSE),2)</f>
        <v>0</v>
      </c>
      <c r="J208" s="1535"/>
      <c r="K208" s="526">
        <f>ROUND('geg ll'!H163*VLOOKUP($F208,categorieMatVSO,7,FALSE),2)</f>
        <v>0</v>
      </c>
      <c r="L208" s="526">
        <f>ROUND('geg ll'!I163*VLOOKUP($F208,categorieMatVSO,8,FALSE),2)</f>
        <v>0</v>
      </c>
      <c r="M208" s="526">
        <f>ROUND('geg ll'!J163*VLOOKUP($F208,categorieMatVSO,9,FALSE),2)</f>
        <v>0</v>
      </c>
      <c r="N208" s="526">
        <f>ROUND('geg ll'!K163*VLOOKUP($F208,categorieMatVSO,9,FALSE),2)</f>
        <v>0</v>
      </c>
      <c r="O208" s="526">
        <f>ROUND('geg ll'!L163*VLOOKUP($F208,categorieMatVSO,9,FALSE),2)</f>
        <v>0</v>
      </c>
      <c r="P208" s="34"/>
      <c r="Q208" s="25"/>
      <c r="S208" s="790"/>
      <c r="T208" s="790"/>
      <c r="U208" s="790"/>
      <c r="V208" s="790"/>
      <c r="W208" s="790"/>
      <c r="X208" s="790"/>
      <c r="Y208" s="790"/>
      <c r="Z208" s="790"/>
      <c r="AA208" s="790"/>
      <c r="AB208" s="790"/>
      <c r="AC208" s="790"/>
      <c r="AD208" s="790"/>
      <c r="AE208" s="790"/>
      <c r="AF208" s="790"/>
      <c r="AG208" s="790"/>
      <c r="AH208" s="790"/>
    </row>
    <row r="209" spans="2:34" x14ac:dyDescent="0.2">
      <c r="B209" s="21"/>
      <c r="C209" s="34"/>
      <c r="D209" s="187"/>
      <c r="E209" s="34"/>
      <c r="F209" s="187" t="str">
        <f t="shared" si="11"/>
        <v>categorie 2</v>
      </c>
      <c r="G209" s="70"/>
      <c r="H209" s="34"/>
      <c r="I209" s="526">
        <f>ROUND('geg ll'!G164*VLOOKUP($F209,categorieMatVSO,8,FALSE),2)</f>
        <v>0</v>
      </c>
      <c r="J209" s="1535"/>
      <c r="K209" s="526">
        <f>ROUND('geg ll'!H164*VLOOKUP($F209,categorieMatVSO,7,FALSE),2)</f>
        <v>0</v>
      </c>
      <c r="L209" s="526">
        <f>ROUND('geg ll'!I164*VLOOKUP($F209,categorieMatVSO,8,FALSE),2)</f>
        <v>0</v>
      </c>
      <c r="M209" s="526">
        <f>ROUND('geg ll'!J164*VLOOKUP($F209,categorieMatVSO,9,FALSE),2)</f>
        <v>0</v>
      </c>
      <c r="N209" s="526">
        <f>ROUND('geg ll'!K164*VLOOKUP($F209,categorieMatVSO,9,FALSE),2)</f>
        <v>0</v>
      </c>
      <c r="O209" s="526">
        <f>ROUND('geg ll'!L164*VLOOKUP($F209,categorieMatVSO,9,FALSE),2)</f>
        <v>0</v>
      </c>
      <c r="P209" s="34"/>
      <c r="Q209" s="25"/>
      <c r="S209" s="790"/>
      <c r="T209" s="790"/>
      <c r="U209" s="790"/>
      <c r="V209" s="790"/>
      <c r="W209" s="790"/>
      <c r="X209" s="790"/>
      <c r="Y209" s="790"/>
      <c r="Z209" s="790"/>
      <c r="AA209" s="790"/>
      <c r="AB209" s="790"/>
      <c r="AC209" s="790"/>
      <c r="AD209" s="790"/>
      <c r="AE209" s="790"/>
      <c r="AF209" s="790"/>
      <c r="AG209" s="790"/>
      <c r="AH209" s="790"/>
    </row>
    <row r="210" spans="2:34" x14ac:dyDescent="0.2">
      <c r="B210" s="21"/>
      <c r="C210" s="34"/>
      <c r="D210" s="187"/>
      <c r="E210" s="34"/>
      <c r="F210" s="187" t="str">
        <f t="shared" si="11"/>
        <v>categorie 3</v>
      </c>
      <c r="G210" s="70"/>
      <c r="H210" s="34"/>
      <c r="I210" s="526">
        <f>ROUND('geg ll'!G165*VLOOKUP($F210,categorieMatVSO,8,FALSE),2)</f>
        <v>0</v>
      </c>
      <c r="J210" s="1535"/>
      <c r="K210" s="526">
        <f>ROUND('geg ll'!H165*VLOOKUP($F210,categorieMatVSO,7,FALSE),2)</f>
        <v>0</v>
      </c>
      <c r="L210" s="526">
        <f>ROUND('geg ll'!I165*VLOOKUP($F210,categorieMatVSO,8,FALSE),2)</f>
        <v>0</v>
      </c>
      <c r="M210" s="526">
        <f>ROUND('geg ll'!J165*VLOOKUP($F210,categorieMatVSO,9,FALSE),2)</f>
        <v>0</v>
      </c>
      <c r="N210" s="526">
        <f>ROUND('geg ll'!K165*VLOOKUP($F210,categorieMatVSO,9,FALSE),2)</f>
        <v>0</v>
      </c>
      <c r="O210" s="526">
        <f>ROUND('geg ll'!L165*VLOOKUP($F210,categorieMatVSO,9,FALSE),2)</f>
        <v>0</v>
      </c>
      <c r="P210" s="34"/>
      <c r="Q210" s="25"/>
      <c r="S210" s="790"/>
      <c r="T210" s="790"/>
      <c r="U210" s="790"/>
      <c r="V210" s="790"/>
      <c r="W210" s="790"/>
      <c r="X210" s="790"/>
      <c r="Y210" s="790"/>
      <c r="Z210" s="790"/>
      <c r="AA210" s="790"/>
      <c r="AB210" s="790"/>
      <c r="AC210" s="790"/>
      <c r="AD210" s="790"/>
      <c r="AE210" s="790"/>
      <c r="AF210" s="790"/>
      <c r="AG210" s="790"/>
      <c r="AH210" s="790"/>
    </row>
    <row r="211" spans="2:34" x14ac:dyDescent="0.2">
      <c r="B211" s="21"/>
      <c r="C211" s="34"/>
      <c r="D211" s="566" t="str">
        <f>+D95</f>
        <v>School 18</v>
      </c>
      <c r="E211" s="34"/>
      <c r="F211" s="187" t="str">
        <f t="shared" si="11"/>
        <v>categorie 1</v>
      </c>
      <c r="G211" s="70"/>
      <c r="H211" s="34"/>
      <c r="I211" s="526">
        <f>ROUND('geg ll'!G167*VLOOKUP($F211,categorieMatVSO,8,FALSE),2)</f>
        <v>0</v>
      </c>
      <c r="J211" s="1535"/>
      <c r="K211" s="526">
        <f>ROUND('geg ll'!H167*VLOOKUP($F211,categorieMatVSO,7,FALSE),2)</f>
        <v>0</v>
      </c>
      <c r="L211" s="526">
        <f>ROUND('geg ll'!I167*VLOOKUP($F211,categorieMatVSO,8,FALSE),2)</f>
        <v>0</v>
      </c>
      <c r="M211" s="526">
        <f>ROUND('geg ll'!J167*VLOOKUP($F211,categorieMatVSO,9,FALSE),2)</f>
        <v>0</v>
      </c>
      <c r="N211" s="526">
        <f>ROUND('geg ll'!K167*VLOOKUP($F211,categorieMatVSO,9,FALSE),2)</f>
        <v>0</v>
      </c>
      <c r="O211" s="526">
        <f>ROUND('geg ll'!L167*VLOOKUP($F211,categorieMatVSO,9,FALSE),2)</f>
        <v>0</v>
      </c>
      <c r="P211" s="34"/>
      <c r="Q211" s="25"/>
      <c r="S211" s="790"/>
      <c r="T211" s="790"/>
      <c r="U211" s="790"/>
      <c r="V211" s="790"/>
      <c r="W211" s="790"/>
      <c r="X211" s="790"/>
      <c r="Y211" s="790"/>
      <c r="Z211" s="790"/>
      <c r="AA211" s="790"/>
      <c r="AB211" s="790"/>
      <c r="AC211" s="790"/>
      <c r="AD211" s="790"/>
      <c r="AE211" s="790"/>
      <c r="AF211" s="790"/>
      <c r="AG211" s="790"/>
      <c r="AH211" s="790"/>
    </row>
    <row r="212" spans="2:34" x14ac:dyDescent="0.2">
      <c r="B212" s="21"/>
      <c r="C212" s="34"/>
      <c r="D212" s="187"/>
      <c r="E212" s="34"/>
      <c r="F212" s="187" t="str">
        <f t="shared" si="11"/>
        <v>categorie 2</v>
      </c>
      <c r="G212" s="70"/>
      <c r="H212" s="34"/>
      <c r="I212" s="526">
        <f>ROUND('geg ll'!G168*VLOOKUP($F212,categorieMatVSO,8,FALSE),2)</f>
        <v>0</v>
      </c>
      <c r="J212" s="1535"/>
      <c r="K212" s="526">
        <f>ROUND('geg ll'!H168*VLOOKUP($F212,categorieMatVSO,7,FALSE),2)</f>
        <v>0</v>
      </c>
      <c r="L212" s="526">
        <f>ROUND('geg ll'!I168*VLOOKUP($F212,categorieMatVSO,8,FALSE),2)</f>
        <v>0</v>
      </c>
      <c r="M212" s="526">
        <f>ROUND('geg ll'!J168*VLOOKUP($F212,categorieMatVSO,9,FALSE),2)</f>
        <v>0</v>
      </c>
      <c r="N212" s="526">
        <f>ROUND('geg ll'!K168*VLOOKUP($F212,categorieMatVSO,9,FALSE),2)</f>
        <v>0</v>
      </c>
      <c r="O212" s="526">
        <f>ROUND('geg ll'!L168*VLOOKUP($F212,categorieMatVSO,9,FALSE),2)</f>
        <v>0</v>
      </c>
      <c r="P212" s="34"/>
      <c r="Q212" s="25"/>
    </row>
    <row r="213" spans="2:34" x14ac:dyDescent="0.2">
      <c r="B213" s="21"/>
      <c r="C213" s="34"/>
      <c r="D213" s="187"/>
      <c r="E213" s="34"/>
      <c r="F213" s="187" t="str">
        <f t="shared" si="11"/>
        <v>categorie 3</v>
      </c>
      <c r="G213" s="70"/>
      <c r="H213" s="34"/>
      <c r="I213" s="526">
        <f>ROUND('geg ll'!G169*VLOOKUP($F213,categorieMatVSO,8,FALSE),2)</f>
        <v>0</v>
      </c>
      <c r="J213" s="1535"/>
      <c r="K213" s="526">
        <f>ROUND('geg ll'!H169*VLOOKUP($F213,categorieMatVSO,7,FALSE),2)</f>
        <v>0</v>
      </c>
      <c r="L213" s="526">
        <f>ROUND('geg ll'!I169*VLOOKUP($F213,categorieMatVSO,8,FALSE),2)</f>
        <v>0</v>
      </c>
      <c r="M213" s="526">
        <f>ROUND('geg ll'!J169*VLOOKUP($F213,categorieMatVSO,9,FALSE),2)</f>
        <v>0</v>
      </c>
      <c r="N213" s="526">
        <f>ROUND('geg ll'!K169*VLOOKUP($F213,categorieMatVSO,9,FALSE),2)</f>
        <v>0</v>
      </c>
      <c r="O213" s="526">
        <f>ROUND('geg ll'!L169*VLOOKUP($F213,categorieMatVSO,9,FALSE),2)</f>
        <v>0</v>
      </c>
      <c r="P213" s="34"/>
      <c r="Q213" s="25"/>
    </row>
    <row r="214" spans="2:34" x14ac:dyDescent="0.2">
      <c r="B214" s="21"/>
      <c r="C214" s="34"/>
      <c r="D214" s="566" t="str">
        <f>+D98</f>
        <v>School 19</v>
      </c>
      <c r="E214" s="34"/>
      <c r="F214" s="187" t="str">
        <f t="shared" si="11"/>
        <v>categorie 1</v>
      </c>
      <c r="G214" s="70"/>
      <c r="H214" s="34"/>
      <c r="I214" s="526">
        <f>ROUND('geg ll'!G171*VLOOKUP($F214,categorieMatVSO,8,FALSE),2)</f>
        <v>0</v>
      </c>
      <c r="J214" s="1535"/>
      <c r="K214" s="526">
        <f>ROUND('geg ll'!H171*VLOOKUP($F214,categorieMatVSO,7,FALSE),2)</f>
        <v>0</v>
      </c>
      <c r="L214" s="526">
        <f>ROUND('geg ll'!I171*VLOOKUP($F214,categorieMatVSO,8,FALSE),2)</f>
        <v>0</v>
      </c>
      <c r="M214" s="526">
        <f>ROUND('geg ll'!J171*VLOOKUP($F214,categorieMatVSO,9,FALSE),2)</f>
        <v>0</v>
      </c>
      <c r="N214" s="526">
        <f>ROUND('geg ll'!K171*VLOOKUP($F214,categorieMatVSO,9,FALSE),2)</f>
        <v>0</v>
      </c>
      <c r="O214" s="526">
        <f>ROUND('geg ll'!L171*VLOOKUP($F214,categorieMatVSO,9,FALSE),2)</f>
        <v>0</v>
      </c>
      <c r="P214" s="34"/>
      <c r="Q214" s="25"/>
    </row>
    <row r="215" spans="2:34" x14ac:dyDescent="0.2">
      <c r="B215" s="21"/>
      <c r="C215" s="34"/>
      <c r="D215" s="187"/>
      <c r="E215" s="34"/>
      <c r="F215" s="187" t="str">
        <f t="shared" si="11"/>
        <v>categorie 2</v>
      </c>
      <c r="G215" s="70"/>
      <c r="H215" s="34"/>
      <c r="I215" s="526">
        <f>ROUND('geg ll'!G172*VLOOKUP($F215,categorieMatVSO,8,FALSE),2)</f>
        <v>0</v>
      </c>
      <c r="J215" s="1535"/>
      <c r="K215" s="526">
        <f>ROUND('geg ll'!H172*VLOOKUP($F215,categorieMatVSO,7,FALSE),2)</f>
        <v>0</v>
      </c>
      <c r="L215" s="526">
        <f>ROUND('geg ll'!I172*VLOOKUP($F215,categorieMatVSO,8,FALSE),2)</f>
        <v>0</v>
      </c>
      <c r="M215" s="526">
        <f>ROUND('geg ll'!J172*VLOOKUP($F215,categorieMatVSO,9,FALSE),2)</f>
        <v>0</v>
      </c>
      <c r="N215" s="526">
        <f>ROUND('geg ll'!K172*VLOOKUP($F215,categorieMatVSO,9,FALSE),2)</f>
        <v>0</v>
      </c>
      <c r="O215" s="526">
        <f>ROUND('geg ll'!L172*VLOOKUP($F215,categorieMatVSO,9,FALSE),2)</f>
        <v>0</v>
      </c>
      <c r="P215" s="34"/>
      <c r="Q215" s="25"/>
    </row>
    <row r="216" spans="2:34" x14ac:dyDescent="0.2">
      <c r="B216" s="21"/>
      <c r="C216" s="34"/>
      <c r="D216" s="187"/>
      <c r="E216" s="34"/>
      <c r="F216" s="187" t="str">
        <f t="shared" si="11"/>
        <v>categorie 3</v>
      </c>
      <c r="G216" s="70"/>
      <c r="H216" s="34"/>
      <c r="I216" s="526">
        <f>ROUND('geg ll'!G173*VLOOKUP($F215,categorieMatVSO,8,FALSE),2)</f>
        <v>0</v>
      </c>
      <c r="J216" s="1535"/>
      <c r="K216" s="526">
        <f>ROUND('geg ll'!H173*VLOOKUP($F215,categorieMatVSO,7,FALSE),2)</f>
        <v>0</v>
      </c>
      <c r="L216" s="526">
        <f>ROUND('geg ll'!I173*VLOOKUP($F215,categorieMatVSO,8,FALSE),2)</f>
        <v>0</v>
      </c>
      <c r="M216" s="526">
        <f>ROUND('geg ll'!J173*VLOOKUP($F215,categorieMatVSO,9,FALSE),2)</f>
        <v>0</v>
      </c>
      <c r="N216" s="526">
        <f>ROUND('geg ll'!K173*VLOOKUP($F215,categorieMatVSO,9,FALSE),2)</f>
        <v>0</v>
      </c>
      <c r="O216" s="526">
        <f>ROUND('geg ll'!L173*VLOOKUP($F215,categorieMatVSO,9,FALSE),2)</f>
        <v>0</v>
      </c>
      <c r="P216" s="34"/>
      <c r="Q216" s="25"/>
    </row>
    <row r="217" spans="2:34" x14ac:dyDescent="0.2">
      <c r="B217" s="21"/>
      <c r="C217" s="34"/>
      <c r="D217" s="566" t="str">
        <f>+D101</f>
        <v>School 20</v>
      </c>
      <c r="E217" s="34"/>
      <c r="F217" s="187" t="str">
        <f t="shared" si="11"/>
        <v>categorie 1</v>
      </c>
      <c r="G217" s="70"/>
      <c r="H217" s="34"/>
      <c r="I217" s="526">
        <f>ROUND('geg ll'!G175*VLOOKUP($F217,categorieMatVSO,8,FALSE),2)</f>
        <v>0</v>
      </c>
      <c r="J217" s="1535"/>
      <c r="K217" s="526">
        <f>ROUND('geg ll'!H175*VLOOKUP($F217,categorieMatVSO,7,FALSE),2)</f>
        <v>0</v>
      </c>
      <c r="L217" s="526">
        <f>ROUND('geg ll'!I175*VLOOKUP($F217,categorieMatVSO,8,FALSE),2)</f>
        <v>0</v>
      </c>
      <c r="M217" s="526">
        <f>ROUND('geg ll'!J175*VLOOKUP($F217,categorieMatVSO,9,FALSE),2)</f>
        <v>0</v>
      </c>
      <c r="N217" s="526">
        <f>ROUND('geg ll'!K175*VLOOKUP($F217,categorieMatVSO,9,FALSE),2)</f>
        <v>0</v>
      </c>
      <c r="O217" s="526">
        <f>ROUND('geg ll'!L175*VLOOKUP($F217,categorieMatVSO,9,FALSE),2)</f>
        <v>0</v>
      </c>
      <c r="P217" s="34"/>
      <c r="Q217" s="25"/>
    </row>
    <row r="218" spans="2:34" x14ac:dyDescent="0.2">
      <c r="B218" s="21"/>
      <c r="C218" s="34"/>
      <c r="D218" s="187"/>
      <c r="E218" s="34"/>
      <c r="F218" s="187" t="str">
        <f t="shared" si="11"/>
        <v>categorie 2</v>
      </c>
      <c r="G218" s="70"/>
      <c r="H218" s="34"/>
      <c r="I218" s="526">
        <f>ROUND('geg ll'!G176*VLOOKUP($F218,categorieMatVSO,8,FALSE),2)</f>
        <v>0</v>
      </c>
      <c r="J218" s="1535"/>
      <c r="K218" s="526">
        <f>ROUND('geg ll'!H176*VLOOKUP($F218,categorieMatVSO,7,FALSE),2)</f>
        <v>0</v>
      </c>
      <c r="L218" s="526">
        <f>ROUND('geg ll'!I176*VLOOKUP($F218,categorieMatVSO,8,FALSE),2)</f>
        <v>0</v>
      </c>
      <c r="M218" s="526">
        <f>ROUND('geg ll'!J176*VLOOKUP($F218,categorieMatVSO,9,FALSE),2)</f>
        <v>0</v>
      </c>
      <c r="N218" s="526">
        <f>ROUND('geg ll'!K176*VLOOKUP($F218,categorieMatVSO,9,FALSE),2)</f>
        <v>0</v>
      </c>
      <c r="O218" s="526">
        <f>ROUND('geg ll'!L176*VLOOKUP($F218,categorieMatVSO,9,FALSE),2)</f>
        <v>0</v>
      </c>
      <c r="P218" s="34"/>
      <c r="Q218" s="25"/>
    </row>
    <row r="219" spans="2:34" x14ac:dyDescent="0.2">
      <c r="B219" s="21"/>
      <c r="C219" s="34"/>
      <c r="D219" s="187"/>
      <c r="E219" s="34"/>
      <c r="F219" s="187" t="str">
        <f t="shared" si="11"/>
        <v>categorie 3</v>
      </c>
      <c r="G219" s="70"/>
      <c r="H219" s="34"/>
      <c r="I219" s="526">
        <f>ROUND('geg ll'!G177*VLOOKUP($F219,categorieMatVSO,8,FALSE),2)</f>
        <v>0</v>
      </c>
      <c r="J219" s="1535"/>
      <c r="K219" s="526">
        <f>ROUND('geg ll'!H177*VLOOKUP($F219,categorieMatVSO,7,FALSE),2)</f>
        <v>0</v>
      </c>
      <c r="L219" s="526">
        <f>ROUND('geg ll'!I177*VLOOKUP($F219,categorieMatVSO,8,FALSE),2)</f>
        <v>0</v>
      </c>
      <c r="M219" s="526">
        <f>ROUND('geg ll'!J177*VLOOKUP($F219,categorieMatVSO,9,FALSE),2)</f>
        <v>0</v>
      </c>
      <c r="N219" s="526">
        <f>ROUND('geg ll'!K177*VLOOKUP($F219,categorieMatVSO,9,FALSE),2)</f>
        <v>0</v>
      </c>
      <c r="O219" s="526">
        <f>ROUND('geg ll'!L177*VLOOKUP($F219,categorieMatVSO,9,FALSE),2)</f>
        <v>0</v>
      </c>
      <c r="P219" s="34"/>
      <c r="Q219" s="25"/>
    </row>
    <row r="220" spans="2:34" x14ac:dyDescent="0.2">
      <c r="B220" s="21"/>
      <c r="C220" s="34"/>
      <c r="D220" s="566" t="str">
        <f>+D104</f>
        <v>School 21</v>
      </c>
      <c r="E220" s="34"/>
      <c r="F220" s="187" t="str">
        <f t="shared" si="11"/>
        <v>categorie 1</v>
      </c>
      <c r="G220" s="70"/>
      <c r="H220" s="34"/>
      <c r="I220" s="526">
        <f>ROUND('geg ll'!G179*VLOOKUP($F220,categorieMatVSO,8,FALSE),2)</f>
        <v>0</v>
      </c>
      <c r="J220" s="1535"/>
      <c r="K220" s="526">
        <f>ROUND('geg ll'!H179*VLOOKUP($F220,categorieMatVSO,7,FALSE),2)</f>
        <v>0</v>
      </c>
      <c r="L220" s="526">
        <f>ROUND('geg ll'!I179*VLOOKUP($F220,categorieMatVSO,8,FALSE),2)</f>
        <v>0</v>
      </c>
      <c r="M220" s="526">
        <f>ROUND('geg ll'!J179*VLOOKUP($F220,categorieMatVSO,9,FALSE),2)</f>
        <v>0</v>
      </c>
      <c r="N220" s="526">
        <f>ROUND('geg ll'!K179*VLOOKUP($F220,categorieMatVSO,9,FALSE),2)</f>
        <v>0</v>
      </c>
      <c r="O220" s="526">
        <f>ROUND('geg ll'!L179*VLOOKUP($F220,categorieMatVSO,9,FALSE),2)</f>
        <v>0</v>
      </c>
      <c r="P220" s="34"/>
      <c r="Q220" s="25"/>
    </row>
    <row r="221" spans="2:34" x14ac:dyDescent="0.2">
      <c r="B221" s="21"/>
      <c r="C221" s="34"/>
      <c r="D221" s="187"/>
      <c r="E221" s="34"/>
      <c r="F221" s="187" t="str">
        <f t="shared" si="11"/>
        <v>categorie 2</v>
      </c>
      <c r="G221" s="70"/>
      <c r="H221" s="34"/>
      <c r="I221" s="526">
        <f>ROUND('geg ll'!G180*VLOOKUP($F221,categorieMatVSO,8,FALSE),2)</f>
        <v>0</v>
      </c>
      <c r="J221" s="1535"/>
      <c r="K221" s="526">
        <f>ROUND('geg ll'!H180*VLOOKUP($F221,categorieMatVSO,7,FALSE),2)</f>
        <v>0</v>
      </c>
      <c r="L221" s="526">
        <f>ROUND('geg ll'!I180*VLOOKUP($F221,categorieMatVSO,8,FALSE),2)</f>
        <v>0</v>
      </c>
      <c r="M221" s="526">
        <f>ROUND('geg ll'!J180*VLOOKUP($F221,categorieMatVSO,9,FALSE),2)</f>
        <v>0</v>
      </c>
      <c r="N221" s="526">
        <f>ROUND('geg ll'!K180*VLOOKUP($F221,categorieMatVSO,9,FALSE),2)</f>
        <v>0</v>
      </c>
      <c r="O221" s="526">
        <f>ROUND('geg ll'!L180*VLOOKUP($F221,categorieMatVSO,9,FALSE),2)</f>
        <v>0</v>
      </c>
      <c r="P221" s="34"/>
      <c r="Q221" s="25"/>
    </row>
    <row r="222" spans="2:34" x14ac:dyDescent="0.2">
      <c r="B222" s="21"/>
      <c r="C222" s="34"/>
      <c r="D222" s="187"/>
      <c r="E222" s="34"/>
      <c r="F222" s="187" t="str">
        <f t="shared" si="11"/>
        <v>categorie 3</v>
      </c>
      <c r="G222" s="70"/>
      <c r="H222" s="34"/>
      <c r="I222" s="526">
        <f>ROUND('geg ll'!G181*VLOOKUP($F222,categorieMatVSO,8,FALSE),2)</f>
        <v>0</v>
      </c>
      <c r="J222" s="1535"/>
      <c r="K222" s="526">
        <f>ROUND('geg ll'!H181*VLOOKUP($F222,categorieMatVSO,7,FALSE),2)</f>
        <v>0</v>
      </c>
      <c r="L222" s="526">
        <f>ROUND('geg ll'!I181*VLOOKUP($F222,categorieMatVSO,8,FALSE),2)</f>
        <v>0</v>
      </c>
      <c r="M222" s="526">
        <f>ROUND('geg ll'!J181*VLOOKUP($F222,categorieMatVSO,9,FALSE),2)</f>
        <v>0</v>
      </c>
      <c r="N222" s="526">
        <f>ROUND('geg ll'!K181*VLOOKUP($F222,categorieMatVSO,9,FALSE),2)</f>
        <v>0</v>
      </c>
      <c r="O222" s="526">
        <f>ROUND('geg ll'!L181*VLOOKUP($F222,categorieMatVSO,9,FALSE),2)</f>
        <v>0</v>
      </c>
      <c r="P222" s="34"/>
      <c r="Q222" s="25"/>
    </row>
    <row r="223" spans="2:34" x14ac:dyDescent="0.2">
      <c r="B223" s="21"/>
      <c r="C223" s="34"/>
      <c r="D223" s="566" t="str">
        <f>+D107</f>
        <v>School 22</v>
      </c>
      <c r="E223" s="34"/>
      <c r="F223" s="187" t="str">
        <f t="shared" si="11"/>
        <v>categorie 1</v>
      </c>
      <c r="G223" s="70"/>
      <c r="H223" s="34"/>
      <c r="I223" s="526">
        <f>ROUND('geg ll'!G183*VLOOKUP($F223,categorieMatVSO,8,FALSE),2)</f>
        <v>0</v>
      </c>
      <c r="J223" s="1535"/>
      <c r="K223" s="526">
        <f>ROUND('geg ll'!H183*VLOOKUP($F223,categorieMatVSO,7,FALSE),2)</f>
        <v>0</v>
      </c>
      <c r="L223" s="526">
        <f>ROUND('geg ll'!I183*VLOOKUP($F223,categorieMatVSO,8,FALSE),2)</f>
        <v>0</v>
      </c>
      <c r="M223" s="526">
        <f>ROUND('geg ll'!J183*VLOOKUP($F223,categorieMatVSO,9,FALSE),2)</f>
        <v>0</v>
      </c>
      <c r="N223" s="526">
        <f>ROUND('geg ll'!K183*VLOOKUP($F223,categorieMatVSO,9,FALSE),2)</f>
        <v>0</v>
      </c>
      <c r="O223" s="526">
        <f>ROUND('geg ll'!L183*VLOOKUP($F223,categorieMatVSO,9,FALSE),2)</f>
        <v>0</v>
      </c>
      <c r="P223" s="34"/>
      <c r="Q223" s="25"/>
    </row>
    <row r="224" spans="2:34" x14ac:dyDescent="0.2">
      <c r="B224" s="21"/>
      <c r="C224" s="34"/>
      <c r="D224" s="187"/>
      <c r="E224" s="34"/>
      <c r="F224" s="187" t="str">
        <f t="shared" si="11"/>
        <v>categorie 2</v>
      </c>
      <c r="G224" s="70"/>
      <c r="H224" s="34"/>
      <c r="I224" s="526">
        <f>ROUND('geg ll'!G184*VLOOKUP($F224,categorieMatVSO,8,FALSE),2)</f>
        <v>0</v>
      </c>
      <c r="J224" s="1535"/>
      <c r="K224" s="526">
        <f>ROUND('geg ll'!H184*VLOOKUP($F224,categorieMatVSO,7,FALSE),2)</f>
        <v>0</v>
      </c>
      <c r="L224" s="526">
        <f>ROUND('geg ll'!I184*VLOOKUP($F224,categorieMatVSO,8,FALSE),2)</f>
        <v>0</v>
      </c>
      <c r="M224" s="526">
        <f>ROUND('geg ll'!J184*VLOOKUP($F224,categorieMatVSO,9,FALSE),2)</f>
        <v>0</v>
      </c>
      <c r="N224" s="526">
        <f>ROUND('geg ll'!K184*VLOOKUP($F224,categorieMatVSO,9,FALSE),2)</f>
        <v>0</v>
      </c>
      <c r="O224" s="526">
        <f>ROUND('geg ll'!L184*VLOOKUP($F224,categorieMatVSO,9,FALSE),2)</f>
        <v>0</v>
      </c>
      <c r="P224" s="34"/>
      <c r="Q224" s="25"/>
    </row>
    <row r="225" spans="2:17" x14ac:dyDescent="0.2">
      <c r="B225" s="21"/>
      <c r="C225" s="34"/>
      <c r="D225" s="187"/>
      <c r="E225" s="34"/>
      <c r="F225" s="187" t="str">
        <f t="shared" si="11"/>
        <v>categorie 3</v>
      </c>
      <c r="G225" s="70"/>
      <c r="H225" s="34"/>
      <c r="I225" s="526">
        <f>ROUND('geg ll'!G185*VLOOKUP($F225,categorieMatVSO,8,FALSE),2)</f>
        <v>0</v>
      </c>
      <c r="J225" s="1535"/>
      <c r="K225" s="526">
        <f>ROUND('geg ll'!H185*VLOOKUP($F225,categorieMatVSO,7,FALSE),2)</f>
        <v>0</v>
      </c>
      <c r="L225" s="526">
        <f>ROUND('geg ll'!I185*VLOOKUP($F225,categorieMatVSO,8,FALSE),2)</f>
        <v>0</v>
      </c>
      <c r="M225" s="526">
        <f>ROUND('geg ll'!J185*VLOOKUP($F225,categorieMatVSO,9,FALSE),2)</f>
        <v>0</v>
      </c>
      <c r="N225" s="526">
        <f>ROUND('geg ll'!K185*VLOOKUP($F225,categorieMatVSO,9,FALSE),2)</f>
        <v>0</v>
      </c>
      <c r="O225" s="526">
        <f>ROUND('geg ll'!L185*VLOOKUP($F225,categorieMatVSO,9,FALSE),2)</f>
        <v>0</v>
      </c>
      <c r="P225" s="34"/>
      <c r="Q225" s="25"/>
    </row>
    <row r="226" spans="2:17" x14ac:dyDescent="0.2">
      <c r="B226" s="21"/>
      <c r="C226" s="34"/>
      <c r="D226" s="566" t="str">
        <f>+D110</f>
        <v>School 23</v>
      </c>
      <c r="E226" s="34"/>
      <c r="F226" s="187" t="str">
        <f t="shared" si="11"/>
        <v>categorie 1</v>
      </c>
      <c r="G226" s="70"/>
      <c r="H226" s="34"/>
      <c r="I226" s="526">
        <f>ROUND('geg ll'!G187*VLOOKUP($F225,categorieMatVSO,8,FALSE),2)</f>
        <v>0</v>
      </c>
      <c r="J226" s="1535"/>
      <c r="K226" s="526">
        <f>ROUND('geg ll'!H187*VLOOKUP($F225,categorieMatVSO,7,FALSE),2)</f>
        <v>0</v>
      </c>
      <c r="L226" s="526">
        <f>ROUND('geg ll'!I187*VLOOKUP($F225,categorieMatVSO,8,FALSE),2)</f>
        <v>0</v>
      </c>
      <c r="M226" s="526">
        <f>ROUND('geg ll'!J187*VLOOKUP($F225,categorieMatVSO,9,FALSE),2)</f>
        <v>0</v>
      </c>
      <c r="N226" s="526">
        <f>ROUND('geg ll'!K187*VLOOKUP($F225,categorieMatVSO,9,FALSE),2)</f>
        <v>0</v>
      </c>
      <c r="O226" s="526">
        <f>ROUND('geg ll'!L187*VLOOKUP($F225,categorieMatVSO,9,FALSE),2)</f>
        <v>0</v>
      </c>
      <c r="P226" s="34"/>
      <c r="Q226" s="25"/>
    </row>
    <row r="227" spans="2:17" x14ac:dyDescent="0.2">
      <c r="B227" s="21"/>
      <c r="C227" s="34"/>
      <c r="D227" s="187"/>
      <c r="E227" s="34"/>
      <c r="F227" s="187" t="str">
        <f t="shared" si="11"/>
        <v>categorie 2</v>
      </c>
      <c r="G227" s="70"/>
      <c r="H227" s="34"/>
      <c r="I227" s="526">
        <f>ROUND('geg ll'!G188*VLOOKUP($F227,categorieMatVSO,8,FALSE),2)</f>
        <v>0</v>
      </c>
      <c r="J227" s="1535"/>
      <c r="K227" s="526">
        <f>ROUND('geg ll'!H188*VLOOKUP($F227,categorieMatVSO,7,FALSE),2)</f>
        <v>0</v>
      </c>
      <c r="L227" s="526">
        <f>ROUND('geg ll'!I188*VLOOKUP($F227,categorieMatVSO,8,FALSE),2)</f>
        <v>0</v>
      </c>
      <c r="M227" s="526">
        <f>ROUND('geg ll'!J188*VLOOKUP($F227,categorieMatVSO,9,FALSE),2)</f>
        <v>0</v>
      </c>
      <c r="N227" s="526">
        <f>ROUND('geg ll'!K188*VLOOKUP($F227,categorieMatVSO,9,FALSE),2)</f>
        <v>0</v>
      </c>
      <c r="O227" s="526">
        <f>ROUND('geg ll'!L188*VLOOKUP($F227,categorieMatVSO,9,FALSE),2)</f>
        <v>0</v>
      </c>
      <c r="P227" s="34"/>
      <c r="Q227" s="25"/>
    </row>
    <row r="228" spans="2:17" x14ac:dyDescent="0.2">
      <c r="B228" s="21"/>
      <c r="C228" s="34"/>
      <c r="D228" s="187"/>
      <c r="E228" s="34"/>
      <c r="F228" s="187" t="str">
        <f t="shared" si="11"/>
        <v>categorie 3</v>
      </c>
      <c r="G228" s="70"/>
      <c r="H228" s="34"/>
      <c r="I228" s="526">
        <f>ROUND('geg ll'!G189*VLOOKUP($F228,categorieMatVSO,8,FALSE),2)</f>
        <v>0</v>
      </c>
      <c r="J228" s="1535"/>
      <c r="K228" s="526">
        <f>ROUND('geg ll'!H189*VLOOKUP($F228,categorieMatVSO,7,FALSE),2)</f>
        <v>0</v>
      </c>
      <c r="L228" s="526">
        <f>ROUND('geg ll'!I189*VLOOKUP($F228,categorieMatVSO,8,FALSE),2)</f>
        <v>0</v>
      </c>
      <c r="M228" s="526">
        <f>ROUND('geg ll'!J189*VLOOKUP($F228,categorieMatVSO,9,FALSE),2)</f>
        <v>0</v>
      </c>
      <c r="N228" s="526">
        <f>ROUND('geg ll'!K189*VLOOKUP($F228,categorieMatVSO,9,FALSE),2)</f>
        <v>0</v>
      </c>
      <c r="O228" s="526">
        <f>ROUND('geg ll'!L189*VLOOKUP($F228,categorieMatVSO,9,FALSE),2)</f>
        <v>0</v>
      </c>
      <c r="P228" s="34"/>
      <c r="Q228" s="25"/>
    </row>
    <row r="229" spans="2:17" x14ac:dyDescent="0.2">
      <c r="B229" s="21"/>
      <c r="C229" s="34"/>
      <c r="D229" s="566" t="str">
        <f>+D113</f>
        <v>School 24</v>
      </c>
      <c r="E229" s="34"/>
      <c r="F229" s="187" t="str">
        <f t="shared" si="11"/>
        <v>categorie 1</v>
      </c>
      <c r="G229" s="70"/>
      <c r="H229" s="34"/>
      <c r="I229" s="526">
        <f>ROUND('geg ll'!G191*VLOOKUP($F229,categorieMatVSO,8,FALSE),2)</f>
        <v>0</v>
      </c>
      <c r="J229" s="1535"/>
      <c r="K229" s="526">
        <f>ROUND('geg ll'!H191*VLOOKUP($F229,categorieMatVSO,7,FALSE),2)</f>
        <v>0</v>
      </c>
      <c r="L229" s="526">
        <f>ROUND('geg ll'!I191*VLOOKUP($F229,categorieMatVSO,8,FALSE),2)</f>
        <v>0</v>
      </c>
      <c r="M229" s="526">
        <f>ROUND('geg ll'!J191*VLOOKUP($F229,categorieMatVSO,9,FALSE),2)</f>
        <v>0</v>
      </c>
      <c r="N229" s="526">
        <f>ROUND('geg ll'!K191*VLOOKUP($F229,categorieMatVSO,9,FALSE),2)</f>
        <v>0</v>
      </c>
      <c r="O229" s="526">
        <f>ROUND('geg ll'!L191*VLOOKUP($F229,categorieMatVSO,9,FALSE),2)</f>
        <v>0</v>
      </c>
      <c r="P229" s="34"/>
      <c r="Q229" s="25"/>
    </row>
    <row r="230" spans="2:17" x14ac:dyDescent="0.2">
      <c r="B230" s="21"/>
      <c r="C230" s="34"/>
      <c r="D230" s="187"/>
      <c r="E230" s="34"/>
      <c r="F230" s="187" t="str">
        <f t="shared" si="11"/>
        <v>categorie 2</v>
      </c>
      <c r="G230" s="70"/>
      <c r="H230" s="34"/>
      <c r="I230" s="526">
        <f>ROUND('geg ll'!G192*VLOOKUP($F230,categorieMatVSO,8,FALSE),2)</f>
        <v>0</v>
      </c>
      <c r="J230" s="1535"/>
      <c r="K230" s="526">
        <f>ROUND('geg ll'!H192*VLOOKUP($F230,categorieMatVSO,7,FALSE),2)</f>
        <v>0</v>
      </c>
      <c r="L230" s="526">
        <f>ROUND('geg ll'!I192*VLOOKUP($F230,categorieMatVSO,8,FALSE),2)</f>
        <v>0</v>
      </c>
      <c r="M230" s="526">
        <f>ROUND('geg ll'!J192*VLOOKUP($F230,categorieMatVSO,9,FALSE),2)</f>
        <v>0</v>
      </c>
      <c r="N230" s="526">
        <f>ROUND('geg ll'!K192*VLOOKUP($F230,categorieMatVSO,9,FALSE),2)</f>
        <v>0</v>
      </c>
      <c r="O230" s="526">
        <f>ROUND('geg ll'!L192*VLOOKUP($F230,categorieMatVSO,9,FALSE),2)</f>
        <v>0</v>
      </c>
      <c r="P230" s="34"/>
      <c r="Q230" s="25"/>
    </row>
    <row r="231" spans="2:17" x14ac:dyDescent="0.2">
      <c r="B231" s="21"/>
      <c r="C231" s="34"/>
      <c r="D231" s="187"/>
      <c r="E231" s="34"/>
      <c r="F231" s="187" t="str">
        <f t="shared" si="11"/>
        <v>categorie 3</v>
      </c>
      <c r="G231" s="70"/>
      <c r="H231" s="34"/>
      <c r="I231" s="526">
        <f>ROUND('geg ll'!G193*VLOOKUP($F231,categorieMatVSO,8,FALSE),2)</f>
        <v>0</v>
      </c>
      <c r="J231" s="1535"/>
      <c r="K231" s="526">
        <f>ROUND('geg ll'!H193*VLOOKUP($F231,categorieMatVSO,7,FALSE),2)</f>
        <v>0</v>
      </c>
      <c r="L231" s="526">
        <f>ROUND('geg ll'!I193*VLOOKUP($F231,categorieMatVSO,8,FALSE),2)</f>
        <v>0</v>
      </c>
      <c r="M231" s="526">
        <f>ROUND('geg ll'!J193*VLOOKUP($F231,categorieMatVSO,9,FALSE),2)</f>
        <v>0</v>
      </c>
      <c r="N231" s="526">
        <f>ROUND('geg ll'!K193*VLOOKUP($F231,categorieMatVSO,9,FALSE),2)</f>
        <v>0</v>
      </c>
      <c r="O231" s="526">
        <f>ROUND('geg ll'!L193*VLOOKUP($F231,categorieMatVSO,9,FALSE),2)</f>
        <v>0</v>
      </c>
      <c r="P231" s="34"/>
      <c r="Q231" s="25"/>
    </row>
    <row r="232" spans="2:17" x14ac:dyDescent="0.2">
      <c r="B232" s="21"/>
      <c r="C232" s="34"/>
      <c r="D232" s="566" t="str">
        <f>+D116</f>
        <v>School 25</v>
      </c>
      <c r="E232" s="34"/>
      <c r="F232" s="187" t="str">
        <f t="shared" si="11"/>
        <v>categorie 1</v>
      </c>
      <c r="G232" s="70"/>
      <c r="H232" s="34"/>
      <c r="I232" s="526">
        <f>ROUND('geg ll'!G195*VLOOKUP($F232,categorieMatVSO,8,FALSE),2)</f>
        <v>0</v>
      </c>
      <c r="J232" s="1535"/>
      <c r="K232" s="526">
        <f>ROUND('geg ll'!H195*VLOOKUP($F232,categorieMatVSO,7,FALSE),2)</f>
        <v>0</v>
      </c>
      <c r="L232" s="526">
        <f>ROUND('geg ll'!I195*VLOOKUP($F232,categorieMatVSO,8,FALSE),2)</f>
        <v>0</v>
      </c>
      <c r="M232" s="526">
        <f>ROUND('geg ll'!J195*VLOOKUP($F232,categorieMatVSO,9,FALSE),2)</f>
        <v>0</v>
      </c>
      <c r="N232" s="526">
        <f>ROUND('geg ll'!K195*VLOOKUP($F232,categorieMatVSO,9,FALSE),2)</f>
        <v>0</v>
      </c>
      <c r="O232" s="526">
        <f>ROUND('geg ll'!L195*VLOOKUP($F232,categorieMatVSO,9,FALSE),2)</f>
        <v>0</v>
      </c>
      <c r="P232" s="34"/>
      <c r="Q232" s="25"/>
    </row>
    <row r="233" spans="2:17" x14ac:dyDescent="0.2">
      <c r="B233" s="21"/>
      <c r="C233" s="34"/>
      <c r="D233" s="187"/>
      <c r="E233" s="34"/>
      <c r="F233" s="187" t="str">
        <f t="shared" si="11"/>
        <v>categorie 2</v>
      </c>
      <c r="G233" s="70"/>
      <c r="H233" s="34"/>
      <c r="I233" s="526">
        <f>ROUND('geg ll'!G196*VLOOKUP($F233,categorieMatVSO,8,FALSE),2)</f>
        <v>0</v>
      </c>
      <c r="J233" s="1535"/>
      <c r="K233" s="526">
        <f>ROUND('geg ll'!H196*VLOOKUP($F233,categorieMatVSO,7,FALSE),2)</f>
        <v>0</v>
      </c>
      <c r="L233" s="526">
        <f>ROUND('geg ll'!I196*VLOOKUP($F233,categorieMatVSO,8,FALSE),2)</f>
        <v>0</v>
      </c>
      <c r="M233" s="526">
        <f>ROUND('geg ll'!J196*VLOOKUP($F233,categorieMatVSO,9,FALSE),2)</f>
        <v>0</v>
      </c>
      <c r="N233" s="526">
        <f>ROUND('geg ll'!K196*VLOOKUP($F233,categorieMatVSO,9,FALSE),2)</f>
        <v>0</v>
      </c>
      <c r="O233" s="526">
        <f>ROUND('geg ll'!L196*VLOOKUP($F233,categorieMatVSO,9,FALSE),2)</f>
        <v>0</v>
      </c>
      <c r="P233" s="34"/>
      <c r="Q233" s="25"/>
    </row>
    <row r="234" spans="2:17" x14ac:dyDescent="0.2">
      <c r="B234" s="21"/>
      <c r="C234" s="34"/>
      <c r="D234" s="187"/>
      <c r="E234" s="34"/>
      <c r="F234" s="187" t="str">
        <f t="shared" si="11"/>
        <v>categorie 3</v>
      </c>
      <c r="G234" s="70"/>
      <c r="H234" s="34"/>
      <c r="I234" s="526">
        <f>ROUND('geg ll'!G197*VLOOKUP($F234,categorieMatVSO,8,FALSE),2)</f>
        <v>0</v>
      </c>
      <c r="J234" s="1535"/>
      <c r="K234" s="526">
        <f>ROUND('geg ll'!H197*VLOOKUP($F234,categorieMatVSO,7,FALSE),2)</f>
        <v>0</v>
      </c>
      <c r="L234" s="526">
        <f>ROUND('geg ll'!I197*VLOOKUP($F234,categorieMatVSO,8,FALSE),2)</f>
        <v>0</v>
      </c>
      <c r="M234" s="526">
        <f>ROUND('geg ll'!J197*VLOOKUP($F234,categorieMatVSO,9,FALSE),2)</f>
        <v>0</v>
      </c>
      <c r="N234" s="526">
        <f>ROUND('geg ll'!K197*VLOOKUP($F234,categorieMatVSO,9,FALSE),2)</f>
        <v>0</v>
      </c>
      <c r="O234" s="526">
        <f>ROUND('geg ll'!L197*VLOOKUP($F234,categorieMatVSO,9,FALSE),2)</f>
        <v>0</v>
      </c>
      <c r="P234" s="34"/>
      <c r="Q234" s="25"/>
    </row>
    <row r="235" spans="2:17" x14ac:dyDescent="0.2">
      <c r="B235" s="21"/>
      <c r="C235" s="34"/>
      <c r="D235" s="566" t="str">
        <f>+D119</f>
        <v>School 26</v>
      </c>
      <c r="E235" s="34"/>
      <c r="F235" s="187" t="str">
        <f t="shared" si="11"/>
        <v>categorie 1</v>
      </c>
      <c r="G235" s="70"/>
      <c r="H235" s="34"/>
      <c r="I235" s="526">
        <f>ROUND('geg ll'!G199*VLOOKUP($F235,categorieMatVSO,8,FALSE),2)</f>
        <v>0</v>
      </c>
      <c r="J235" s="1535"/>
      <c r="K235" s="526">
        <f>ROUND('geg ll'!H199*VLOOKUP($F235,categorieMatVSO,7,FALSE),2)</f>
        <v>0</v>
      </c>
      <c r="L235" s="526">
        <f>ROUND('geg ll'!I199*VLOOKUP($F235,categorieMatVSO,8,FALSE),2)</f>
        <v>0</v>
      </c>
      <c r="M235" s="526">
        <f>ROUND('geg ll'!J199*VLOOKUP($F235,categorieMatVSO,9,FALSE),2)</f>
        <v>0</v>
      </c>
      <c r="N235" s="526">
        <f>ROUND('geg ll'!K199*VLOOKUP($F235,categorieMatVSO,9,FALSE),2)</f>
        <v>0</v>
      </c>
      <c r="O235" s="526">
        <f>ROUND('geg ll'!L199*VLOOKUP($F235,categorieMatVSO,9,FALSE),2)</f>
        <v>0</v>
      </c>
      <c r="P235" s="34"/>
      <c r="Q235" s="25"/>
    </row>
    <row r="236" spans="2:17" x14ac:dyDescent="0.2">
      <c r="B236" s="21"/>
      <c r="C236" s="34"/>
      <c r="D236" s="187"/>
      <c r="E236" s="34"/>
      <c r="F236" s="187" t="str">
        <f t="shared" si="11"/>
        <v>categorie 2</v>
      </c>
      <c r="G236" s="70"/>
      <c r="H236" s="34"/>
      <c r="I236" s="526">
        <f>ROUND('geg ll'!G200*VLOOKUP($F235,categorieMatVSO,8,FALSE),2)</f>
        <v>0</v>
      </c>
      <c r="J236" s="1535"/>
      <c r="K236" s="526">
        <f>ROUND('geg ll'!H200*VLOOKUP($F235,categorieMatVSO,7,FALSE),2)</f>
        <v>0</v>
      </c>
      <c r="L236" s="526">
        <f>ROUND('geg ll'!I200*VLOOKUP($F235,categorieMatVSO,8,FALSE),2)</f>
        <v>0</v>
      </c>
      <c r="M236" s="526">
        <f>ROUND('geg ll'!J200*VLOOKUP($F235,categorieMatVSO,9,FALSE),2)</f>
        <v>0</v>
      </c>
      <c r="N236" s="526">
        <f>ROUND('geg ll'!K200*VLOOKUP($F235,categorieMatVSO,9,FALSE),2)</f>
        <v>0</v>
      </c>
      <c r="O236" s="526">
        <f>ROUND('geg ll'!L200*VLOOKUP($F235,categorieMatVSO,9,FALSE),2)</f>
        <v>0</v>
      </c>
      <c r="P236" s="34"/>
      <c r="Q236" s="25"/>
    </row>
    <row r="237" spans="2:17" x14ac:dyDescent="0.2">
      <c r="B237" s="21"/>
      <c r="C237" s="34"/>
      <c r="D237" s="187"/>
      <c r="E237" s="34"/>
      <c r="F237" s="187" t="str">
        <f t="shared" si="11"/>
        <v>categorie 3</v>
      </c>
      <c r="G237" s="70"/>
      <c r="H237" s="34"/>
      <c r="I237" s="526">
        <f>ROUND('geg ll'!G201*VLOOKUP($F237,categorieMatVSO,8,FALSE),2)</f>
        <v>0</v>
      </c>
      <c r="J237" s="1535"/>
      <c r="K237" s="526">
        <f>ROUND('geg ll'!H201*VLOOKUP($F237,categorieMatVSO,7,FALSE),2)</f>
        <v>0</v>
      </c>
      <c r="L237" s="526">
        <f>ROUND('geg ll'!I201*VLOOKUP($F237,categorieMatVSO,8,FALSE),2)</f>
        <v>0</v>
      </c>
      <c r="M237" s="526">
        <f>ROUND('geg ll'!J201*VLOOKUP($F237,categorieMatVSO,9,FALSE),2)</f>
        <v>0</v>
      </c>
      <c r="N237" s="526">
        <f>ROUND('geg ll'!K201*VLOOKUP($F237,categorieMatVSO,9,FALSE),2)</f>
        <v>0</v>
      </c>
      <c r="O237" s="526">
        <f>ROUND('geg ll'!L201*VLOOKUP($F237,categorieMatVSO,9,FALSE),2)</f>
        <v>0</v>
      </c>
      <c r="P237" s="34"/>
      <c r="Q237" s="25"/>
    </row>
    <row r="238" spans="2:17" x14ac:dyDescent="0.2">
      <c r="B238" s="21"/>
      <c r="C238" s="34"/>
      <c r="D238" s="566" t="str">
        <f>+D122</f>
        <v>School 27</v>
      </c>
      <c r="E238" s="34"/>
      <c r="F238" s="187" t="str">
        <f t="shared" si="11"/>
        <v>categorie 1</v>
      </c>
      <c r="G238" s="70"/>
      <c r="H238" s="34"/>
      <c r="I238" s="526">
        <f>ROUND('geg ll'!G203*VLOOKUP($F238,categorieMatVSO,8,FALSE),2)</f>
        <v>0</v>
      </c>
      <c r="J238" s="1535"/>
      <c r="K238" s="526">
        <f>ROUND('geg ll'!H203*VLOOKUP($F238,categorieMatVSO,7,FALSE),2)</f>
        <v>0</v>
      </c>
      <c r="L238" s="526">
        <f>ROUND('geg ll'!I203*VLOOKUP($F238,categorieMatVSO,8,FALSE),2)</f>
        <v>0</v>
      </c>
      <c r="M238" s="526">
        <f>ROUND('geg ll'!J203*VLOOKUP($F238,categorieMatVSO,9,FALSE),2)</f>
        <v>0</v>
      </c>
      <c r="N238" s="526">
        <f>ROUND('geg ll'!K203*VLOOKUP($F238,categorieMatVSO,9,FALSE),2)</f>
        <v>0</v>
      </c>
      <c r="O238" s="526">
        <f>ROUND('geg ll'!L203*VLOOKUP($F238,categorieMatVSO,9,FALSE),2)</f>
        <v>0</v>
      </c>
      <c r="P238" s="34"/>
      <c r="Q238" s="25"/>
    </row>
    <row r="239" spans="2:17" x14ac:dyDescent="0.2">
      <c r="B239" s="21"/>
      <c r="C239" s="34"/>
      <c r="D239" s="187"/>
      <c r="E239" s="34"/>
      <c r="F239" s="187" t="str">
        <f t="shared" si="11"/>
        <v>categorie 2</v>
      </c>
      <c r="G239" s="70"/>
      <c r="H239" s="34"/>
      <c r="I239" s="526">
        <f>ROUND('geg ll'!G204*VLOOKUP($F239,categorieMatVSO,8,FALSE),2)</f>
        <v>0</v>
      </c>
      <c r="J239" s="1535"/>
      <c r="K239" s="526">
        <f>ROUND('geg ll'!H204*VLOOKUP($F239,categorieMatVSO,7,FALSE),2)</f>
        <v>0</v>
      </c>
      <c r="L239" s="526">
        <f>ROUND('geg ll'!I204*VLOOKUP($F239,categorieMatVSO,8,FALSE),2)</f>
        <v>0</v>
      </c>
      <c r="M239" s="526">
        <f>ROUND('geg ll'!J204*VLOOKUP($F239,categorieMatVSO,9,FALSE),2)</f>
        <v>0</v>
      </c>
      <c r="N239" s="526">
        <f>ROUND('geg ll'!K204*VLOOKUP($F239,categorieMatVSO,9,FALSE),2)</f>
        <v>0</v>
      </c>
      <c r="O239" s="526">
        <f>ROUND('geg ll'!L204*VLOOKUP($F239,categorieMatVSO,9,FALSE),2)</f>
        <v>0</v>
      </c>
      <c r="P239" s="34"/>
      <c r="Q239" s="25"/>
    </row>
    <row r="240" spans="2:17" x14ac:dyDescent="0.2">
      <c r="B240" s="21"/>
      <c r="C240" s="34"/>
      <c r="D240" s="187"/>
      <c r="E240" s="34"/>
      <c r="F240" s="187" t="str">
        <f t="shared" si="11"/>
        <v>categorie 3</v>
      </c>
      <c r="G240" s="70"/>
      <c r="H240" s="34"/>
      <c r="I240" s="526">
        <f>ROUND('geg ll'!G205*VLOOKUP($F240,categorieMatVSO,8,FALSE),2)</f>
        <v>0</v>
      </c>
      <c r="J240" s="1535"/>
      <c r="K240" s="526">
        <f>ROUND('geg ll'!H205*VLOOKUP($F240,categorieMatVSO,7,FALSE),2)</f>
        <v>0</v>
      </c>
      <c r="L240" s="526">
        <f>ROUND('geg ll'!I205*VLOOKUP($F240,categorieMatVSO,8,FALSE),2)</f>
        <v>0</v>
      </c>
      <c r="M240" s="526">
        <f>ROUND('geg ll'!J205*VLOOKUP($F240,categorieMatVSO,9,FALSE),2)</f>
        <v>0</v>
      </c>
      <c r="N240" s="526">
        <f>ROUND('geg ll'!K205*VLOOKUP($F240,categorieMatVSO,9,FALSE),2)</f>
        <v>0</v>
      </c>
      <c r="O240" s="526">
        <f>ROUND('geg ll'!L205*VLOOKUP($F240,categorieMatVSO,9,FALSE),2)</f>
        <v>0</v>
      </c>
      <c r="P240" s="34"/>
      <c r="Q240" s="25"/>
    </row>
    <row r="241" spans="2:17" x14ac:dyDescent="0.2">
      <c r="B241" s="21"/>
      <c r="C241" s="34"/>
      <c r="D241" s="566" t="str">
        <f>+D125</f>
        <v>School 28</v>
      </c>
      <c r="E241" s="34"/>
      <c r="F241" s="187" t="str">
        <f t="shared" si="11"/>
        <v>categorie 1</v>
      </c>
      <c r="G241" s="70"/>
      <c r="H241" s="34"/>
      <c r="I241" s="526">
        <f>ROUND('geg ll'!G207*VLOOKUP($F241,categorieMatVSO,8,FALSE),2)</f>
        <v>0</v>
      </c>
      <c r="J241" s="1535"/>
      <c r="K241" s="526">
        <f>ROUND('geg ll'!H207*VLOOKUP($F241,categorieMatVSO,7,FALSE),2)</f>
        <v>0</v>
      </c>
      <c r="L241" s="526">
        <f>ROUND('geg ll'!I207*VLOOKUP($F241,categorieMatVSO,8,FALSE),2)</f>
        <v>0</v>
      </c>
      <c r="M241" s="526">
        <f>ROUND('geg ll'!J207*VLOOKUP($F241,categorieMatVSO,9,FALSE),2)</f>
        <v>0</v>
      </c>
      <c r="N241" s="526">
        <f>ROUND('geg ll'!K207*VLOOKUP($F241,categorieMatVSO,9,FALSE),2)</f>
        <v>0</v>
      </c>
      <c r="O241" s="526">
        <f>ROUND('geg ll'!L207*VLOOKUP($F241,categorieMatVSO,9,FALSE),2)</f>
        <v>0</v>
      </c>
      <c r="P241" s="34"/>
      <c r="Q241" s="25"/>
    </row>
    <row r="242" spans="2:17" x14ac:dyDescent="0.2">
      <c r="B242" s="21"/>
      <c r="C242" s="34"/>
      <c r="D242" s="187"/>
      <c r="E242" s="34"/>
      <c r="F242" s="187" t="str">
        <f t="shared" si="11"/>
        <v>categorie 2</v>
      </c>
      <c r="G242" s="70"/>
      <c r="H242" s="34"/>
      <c r="I242" s="526">
        <f>ROUND('geg ll'!G208*VLOOKUP($F242,categorieMatVSO,8,FALSE),2)</f>
        <v>0</v>
      </c>
      <c r="J242" s="1535"/>
      <c r="K242" s="526">
        <f>ROUND('geg ll'!H208*VLOOKUP($F242,categorieMatVSO,7,FALSE),2)</f>
        <v>0</v>
      </c>
      <c r="L242" s="526">
        <f>ROUND('geg ll'!I208*VLOOKUP($F242,categorieMatVSO,8,FALSE),2)</f>
        <v>0</v>
      </c>
      <c r="M242" s="526">
        <f>ROUND('geg ll'!J208*VLOOKUP($F242,categorieMatVSO,9,FALSE),2)</f>
        <v>0</v>
      </c>
      <c r="N242" s="526">
        <f>ROUND('geg ll'!K208*VLOOKUP($F242,categorieMatVSO,9,FALSE),2)</f>
        <v>0</v>
      </c>
      <c r="O242" s="526">
        <f>ROUND('geg ll'!L208*VLOOKUP($F242,categorieMatVSO,9,FALSE),2)</f>
        <v>0</v>
      </c>
      <c r="P242" s="34"/>
      <c r="Q242" s="25"/>
    </row>
    <row r="243" spans="2:17" x14ac:dyDescent="0.2">
      <c r="B243" s="21"/>
      <c r="C243" s="34"/>
      <c r="D243" s="187"/>
      <c r="E243" s="34"/>
      <c r="F243" s="187" t="str">
        <f t="shared" si="11"/>
        <v>categorie 3</v>
      </c>
      <c r="G243" s="70"/>
      <c r="H243" s="34"/>
      <c r="I243" s="526">
        <f>ROUND('geg ll'!G209*VLOOKUP($F243,categorieMatVSO,8,FALSE),2)</f>
        <v>0</v>
      </c>
      <c r="J243" s="1535"/>
      <c r="K243" s="526">
        <f>ROUND('geg ll'!H209*VLOOKUP($F243,categorieMatVSO,7,FALSE),2)</f>
        <v>0</v>
      </c>
      <c r="L243" s="526">
        <f>ROUND('geg ll'!I209*VLOOKUP($F243,categorieMatVSO,8,FALSE),2)</f>
        <v>0</v>
      </c>
      <c r="M243" s="526">
        <f>ROUND('geg ll'!J209*VLOOKUP($F243,categorieMatVSO,9,FALSE),2)</f>
        <v>0</v>
      </c>
      <c r="N243" s="526">
        <f>ROUND('geg ll'!K209*VLOOKUP($F243,categorieMatVSO,9,FALSE),2)</f>
        <v>0</v>
      </c>
      <c r="O243" s="526">
        <f>ROUND('geg ll'!L209*VLOOKUP($F243,categorieMatVSO,9,FALSE),2)</f>
        <v>0</v>
      </c>
      <c r="P243" s="34"/>
      <c r="Q243" s="25"/>
    </row>
    <row r="244" spans="2:17" x14ac:dyDescent="0.2">
      <c r="B244" s="21"/>
      <c r="C244" s="34"/>
      <c r="D244" s="566" t="str">
        <f>+D128</f>
        <v>School 29</v>
      </c>
      <c r="E244" s="34"/>
      <c r="F244" s="187" t="str">
        <f t="shared" si="11"/>
        <v>categorie 1</v>
      </c>
      <c r="G244" s="70"/>
      <c r="H244" s="34"/>
      <c r="I244" s="526">
        <f>ROUND('geg ll'!G211*VLOOKUP($F244,categorieMatVSO,8,FALSE),2)</f>
        <v>0</v>
      </c>
      <c r="J244" s="1535"/>
      <c r="K244" s="526">
        <f>ROUND('geg ll'!H211*VLOOKUP($F244,categorieMatVSO,7,FALSE),2)</f>
        <v>0</v>
      </c>
      <c r="L244" s="526">
        <f>ROUND('geg ll'!I211*VLOOKUP($F244,categorieMatVSO,8,FALSE),2)</f>
        <v>0</v>
      </c>
      <c r="M244" s="526">
        <f>ROUND('geg ll'!J211*VLOOKUP($F244,categorieMatVSO,9,FALSE),2)</f>
        <v>0</v>
      </c>
      <c r="N244" s="526">
        <f>ROUND('geg ll'!K211*VLOOKUP($F244,categorieMatVSO,9,FALSE),2)</f>
        <v>0</v>
      </c>
      <c r="O244" s="526">
        <f>ROUND('geg ll'!L211*VLOOKUP($F244,categorieMatVSO,9,FALSE),2)</f>
        <v>0</v>
      </c>
      <c r="P244" s="34"/>
      <c r="Q244" s="25"/>
    </row>
    <row r="245" spans="2:17" x14ac:dyDescent="0.2">
      <c r="B245" s="21"/>
      <c r="C245" s="34"/>
      <c r="D245" s="187"/>
      <c r="E245" s="34"/>
      <c r="F245" s="187" t="str">
        <f t="shared" si="11"/>
        <v>categorie 2</v>
      </c>
      <c r="G245" s="70"/>
      <c r="H245" s="34"/>
      <c r="I245" s="526">
        <f>ROUND('geg ll'!G212*VLOOKUP($F245,categorieMatVSO,8,FALSE),2)</f>
        <v>0</v>
      </c>
      <c r="J245" s="1535"/>
      <c r="K245" s="526">
        <f>ROUND('geg ll'!H212*VLOOKUP($F245,categorieMatVSO,7,FALSE),2)</f>
        <v>0</v>
      </c>
      <c r="L245" s="526">
        <f>ROUND('geg ll'!I212*VLOOKUP($F245,categorieMatVSO,8,FALSE),2)</f>
        <v>0</v>
      </c>
      <c r="M245" s="526">
        <f>ROUND('geg ll'!J212*VLOOKUP($F245,categorieMatVSO,9,FALSE),2)</f>
        <v>0</v>
      </c>
      <c r="N245" s="526">
        <f>ROUND('geg ll'!K212*VLOOKUP($F245,categorieMatVSO,9,FALSE),2)</f>
        <v>0</v>
      </c>
      <c r="O245" s="526">
        <f>ROUND('geg ll'!L212*VLOOKUP($F245,categorieMatVSO,9,FALSE),2)</f>
        <v>0</v>
      </c>
      <c r="P245" s="34"/>
      <c r="Q245" s="25"/>
    </row>
    <row r="246" spans="2:17" x14ac:dyDescent="0.2">
      <c r="B246" s="21"/>
      <c r="C246" s="34"/>
      <c r="D246" s="187"/>
      <c r="E246" s="34"/>
      <c r="F246" s="187" t="str">
        <f t="shared" si="11"/>
        <v>categorie 3</v>
      </c>
      <c r="G246" s="70"/>
      <c r="H246" s="34"/>
      <c r="I246" s="526">
        <f>ROUND('geg ll'!G213*VLOOKUP($F245,categorieMatVSO,8,FALSE),2)</f>
        <v>0</v>
      </c>
      <c r="J246" s="1535"/>
      <c r="K246" s="526">
        <f>ROUND('geg ll'!H213*VLOOKUP($F245,categorieMatVSO,7,FALSE),2)</f>
        <v>0</v>
      </c>
      <c r="L246" s="526">
        <f>ROUND('geg ll'!I213*VLOOKUP($F245,categorieMatVSO,8,FALSE),2)</f>
        <v>0</v>
      </c>
      <c r="M246" s="526">
        <f>ROUND('geg ll'!J213*VLOOKUP($F245,categorieMatVSO,9,FALSE),2)</f>
        <v>0</v>
      </c>
      <c r="N246" s="526">
        <f>ROUND('geg ll'!K213*VLOOKUP($F245,categorieMatVSO,9,FALSE),2)</f>
        <v>0</v>
      </c>
      <c r="O246" s="526">
        <f>ROUND('geg ll'!L213*VLOOKUP($F245,categorieMatVSO,9,FALSE),2)</f>
        <v>0</v>
      </c>
      <c r="P246" s="34"/>
      <c r="Q246" s="25"/>
    </row>
    <row r="247" spans="2:17" x14ac:dyDescent="0.2">
      <c r="B247" s="21"/>
      <c r="C247" s="34"/>
      <c r="D247" s="566" t="str">
        <f>+D131</f>
        <v>School 30</v>
      </c>
      <c r="E247" s="34"/>
      <c r="F247" s="187" t="str">
        <f t="shared" ref="F247:F264" si="12">+F131</f>
        <v>categorie 1</v>
      </c>
      <c r="G247" s="70"/>
      <c r="H247" s="34"/>
      <c r="I247" s="526">
        <f>ROUND('geg ll'!G215*VLOOKUP($F247,categorieMatVSO,8,FALSE),2)</f>
        <v>0</v>
      </c>
      <c r="J247" s="1535"/>
      <c r="K247" s="526">
        <f>ROUND('geg ll'!H215*VLOOKUP($F247,categorieMatVSO,7,FALSE),2)</f>
        <v>0</v>
      </c>
      <c r="L247" s="526">
        <f>ROUND('geg ll'!I215*VLOOKUP($F247,categorieMatVSO,8,FALSE),2)</f>
        <v>0</v>
      </c>
      <c r="M247" s="526">
        <f>ROUND('geg ll'!J215*VLOOKUP($F247,categorieMatVSO,9,FALSE),2)</f>
        <v>0</v>
      </c>
      <c r="N247" s="526">
        <f>ROUND('geg ll'!K215*VLOOKUP($F247,categorieMatVSO,9,FALSE),2)</f>
        <v>0</v>
      </c>
      <c r="O247" s="526">
        <f>ROUND('geg ll'!L215*VLOOKUP($F247,categorieMatVSO,9,FALSE),2)</f>
        <v>0</v>
      </c>
      <c r="P247" s="34"/>
      <c r="Q247" s="25"/>
    </row>
    <row r="248" spans="2:17" x14ac:dyDescent="0.2">
      <c r="B248" s="21"/>
      <c r="C248" s="34"/>
      <c r="D248" s="37"/>
      <c r="E248" s="34"/>
      <c r="F248" s="187" t="str">
        <f t="shared" si="12"/>
        <v>categorie 2</v>
      </c>
      <c r="G248" s="70"/>
      <c r="H248" s="34"/>
      <c r="I248" s="526">
        <f>ROUND('geg ll'!G216*VLOOKUP($F248,categorieMatVSO,8,FALSE),2)</f>
        <v>0</v>
      </c>
      <c r="J248" s="1535"/>
      <c r="K248" s="526">
        <f>ROUND('geg ll'!H216*VLOOKUP($F248,categorieMatVSO,7,FALSE),2)</f>
        <v>0</v>
      </c>
      <c r="L248" s="526">
        <f>ROUND('geg ll'!I216*VLOOKUP($F248,categorieMatVSO,8,FALSE),2)</f>
        <v>0</v>
      </c>
      <c r="M248" s="526">
        <f>ROUND('geg ll'!J216*VLOOKUP($F248,categorieMatVSO,9,FALSE),2)</f>
        <v>0</v>
      </c>
      <c r="N248" s="526">
        <f>ROUND('geg ll'!K216*VLOOKUP($F248,categorieMatVSO,9,FALSE),2)</f>
        <v>0</v>
      </c>
      <c r="O248" s="526">
        <f>ROUND('geg ll'!L216*VLOOKUP($F248,categorieMatVSO,9,FALSE),2)</f>
        <v>0</v>
      </c>
      <c r="P248" s="34"/>
      <c r="Q248" s="25"/>
    </row>
    <row r="249" spans="2:17" x14ac:dyDescent="0.2">
      <c r="B249" s="21"/>
      <c r="C249" s="34"/>
      <c r="D249" s="37"/>
      <c r="E249" s="34"/>
      <c r="F249" s="187" t="str">
        <f t="shared" si="12"/>
        <v>categorie 3</v>
      </c>
      <c r="G249" s="70"/>
      <c r="H249" s="34"/>
      <c r="I249" s="526">
        <f>ROUND('geg ll'!G217*VLOOKUP($F249,categorieMatVSO,8,FALSE),2)</f>
        <v>0</v>
      </c>
      <c r="J249" s="1535"/>
      <c r="K249" s="526">
        <f>ROUND('geg ll'!H217*VLOOKUP($F249,categorieMatVSO,7,FALSE),2)</f>
        <v>0</v>
      </c>
      <c r="L249" s="526">
        <f>ROUND('geg ll'!I217*VLOOKUP($F249,categorieMatVSO,8,FALSE),2)</f>
        <v>0</v>
      </c>
      <c r="M249" s="526">
        <f>ROUND('geg ll'!J217*VLOOKUP($F249,categorieMatVSO,9,FALSE),2)</f>
        <v>0</v>
      </c>
      <c r="N249" s="526">
        <f>ROUND('geg ll'!K217*VLOOKUP($F249,categorieMatVSO,9,FALSE),2)</f>
        <v>0</v>
      </c>
      <c r="O249" s="526">
        <f>ROUND('geg ll'!L217*VLOOKUP($F249,categorieMatVSO,9,FALSE),2)</f>
        <v>0</v>
      </c>
      <c r="P249" s="34"/>
      <c r="Q249" s="25"/>
    </row>
    <row r="250" spans="2:17" x14ac:dyDescent="0.2">
      <c r="B250" s="21"/>
      <c r="C250" s="34"/>
      <c r="D250" s="566" t="str">
        <f>+D134</f>
        <v>School 31</v>
      </c>
      <c r="E250" s="34"/>
      <c r="F250" s="187" t="str">
        <f t="shared" si="12"/>
        <v>categorie 1</v>
      </c>
      <c r="G250" s="70"/>
      <c r="H250" s="34"/>
      <c r="I250" s="526">
        <f>ROUND('geg ll'!G219*VLOOKUP($F250,categorieMatVSO,8,FALSE),2)</f>
        <v>0</v>
      </c>
      <c r="J250" s="1535"/>
      <c r="K250" s="526">
        <f>ROUND('geg ll'!H219*VLOOKUP($F250,categorieMatVSO,7,FALSE),2)</f>
        <v>0</v>
      </c>
      <c r="L250" s="526">
        <f>ROUND('geg ll'!I219*VLOOKUP($F250,categorieMatVSO,8,FALSE),2)</f>
        <v>0</v>
      </c>
      <c r="M250" s="526">
        <f>ROUND('geg ll'!J219*VLOOKUP($F250,categorieMatVSO,9,FALSE),2)</f>
        <v>0</v>
      </c>
      <c r="N250" s="526">
        <f>ROUND('geg ll'!K219*VLOOKUP($F250,categorieMatVSO,9,FALSE),2)</f>
        <v>0</v>
      </c>
      <c r="O250" s="526">
        <f>ROUND('geg ll'!L219*VLOOKUP($F250,categorieMatVSO,9,FALSE),2)</f>
        <v>0</v>
      </c>
      <c r="P250" s="34"/>
      <c r="Q250" s="25"/>
    </row>
    <row r="251" spans="2:17" x14ac:dyDescent="0.2">
      <c r="B251" s="21"/>
      <c r="C251" s="34"/>
      <c r="D251" s="37"/>
      <c r="E251" s="34"/>
      <c r="F251" s="187" t="str">
        <f t="shared" si="12"/>
        <v>categorie 2</v>
      </c>
      <c r="G251" s="70"/>
      <c r="H251" s="34"/>
      <c r="I251" s="526">
        <f>ROUND('geg ll'!G220*VLOOKUP($F251,categorieMatVSO,8,FALSE),2)</f>
        <v>0</v>
      </c>
      <c r="J251" s="1535"/>
      <c r="K251" s="526">
        <f>ROUND('geg ll'!H220*VLOOKUP($F251,categorieMatVSO,7,FALSE),2)</f>
        <v>0</v>
      </c>
      <c r="L251" s="526">
        <f>ROUND('geg ll'!I220*VLOOKUP($F251,categorieMatVSO,8,FALSE),2)</f>
        <v>0</v>
      </c>
      <c r="M251" s="526">
        <f>ROUND('geg ll'!J220*VLOOKUP($F251,categorieMatVSO,9,FALSE),2)</f>
        <v>0</v>
      </c>
      <c r="N251" s="526">
        <f>ROUND('geg ll'!K220*VLOOKUP($F251,categorieMatVSO,9,FALSE),2)</f>
        <v>0</v>
      </c>
      <c r="O251" s="526">
        <f>ROUND('geg ll'!L220*VLOOKUP($F251,categorieMatVSO,9,FALSE),2)</f>
        <v>0</v>
      </c>
      <c r="P251" s="34"/>
      <c r="Q251" s="25"/>
    </row>
    <row r="252" spans="2:17" x14ac:dyDescent="0.2">
      <c r="B252" s="21"/>
      <c r="C252" s="34"/>
      <c r="D252" s="37"/>
      <c r="E252" s="34"/>
      <c r="F252" s="187" t="str">
        <f t="shared" si="12"/>
        <v>categorie 3</v>
      </c>
      <c r="G252" s="70"/>
      <c r="H252" s="34"/>
      <c r="I252" s="526">
        <f>ROUND('geg ll'!G221*VLOOKUP($F252,categorieMatVSO,8,FALSE),2)</f>
        <v>0</v>
      </c>
      <c r="J252" s="1535"/>
      <c r="K252" s="526">
        <f>ROUND('geg ll'!H221*VLOOKUP($F252,categorieMatVSO,7,FALSE),2)</f>
        <v>0</v>
      </c>
      <c r="L252" s="526">
        <f>ROUND('geg ll'!I221*VLOOKUP($F252,categorieMatVSO,8,FALSE),2)</f>
        <v>0</v>
      </c>
      <c r="M252" s="526">
        <f>ROUND('geg ll'!J221*VLOOKUP($F252,categorieMatVSO,9,FALSE),2)</f>
        <v>0</v>
      </c>
      <c r="N252" s="526">
        <f>ROUND('geg ll'!K221*VLOOKUP($F252,categorieMatVSO,9,FALSE),2)</f>
        <v>0</v>
      </c>
      <c r="O252" s="526">
        <f>ROUND('geg ll'!L221*VLOOKUP($F252,categorieMatVSO,9,FALSE),2)</f>
        <v>0</v>
      </c>
      <c r="P252" s="34"/>
      <c r="Q252" s="25"/>
    </row>
    <row r="253" spans="2:17" x14ac:dyDescent="0.2">
      <c r="B253" s="21"/>
      <c r="C253" s="34"/>
      <c r="D253" s="566" t="str">
        <f>+D137</f>
        <v>School 32</v>
      </c>
      <c r="E253" s="34"/>
      <c r="F253" s="187" t="str">
        <f t="shared" si="12"/>
        <v>categorie 1</v>
      </c>
      <c r="G253" s="70"/>
      <c r="H253" s="34"/>
      <c r="I253" s="526">
        <f>ROUND('geg ll'!G223*VLOOKUP($F253,categorieMatVSO,8,FALSE),2)</f>
        <v>0</v>
      </c>
      <c r="J253" s="1535"/>
      <c r="K253" s="526">
        <f>ROUND('geg ll'!H223*VLOOKUP($F253,categorieMatVSO,7,FALSE),2)</f>
        <v>0</v>
      </c>
      <c r="L253" s="526">
        <f>ROUND('geg ll'!I223*VLOOKUP($F253,categorieMatVSO,8,FALSE),2)</f>
        <v>0</v>
      </c>
      <c r="M253" s="526">
        <f>ROUND('geg ll'!J223*VLOOKUP($F253,categorieMatVSO,9,FALSE),2)</f>
        <v>0</v>
      </c>
      <c r="N253" s="526">
        <f>ROUND('geg ll'!K223*VLOOKUP($F253,categorieMatVSO,9,FALSE),2)</f>
        <v>0</v>
      </c>
      <c r="O253" s="526">
        <f>ROUND('geg ll'!L223*VLOOKUP($F253,categorieMatVSO,9,FALSE),2)</f>
        <v>0</v>
      </c>
      <c r="P253" s="34"/>
      <c r="Q253" s="25"/>
    </row>
    <row r="254" spans="2:17" x14ac:dyDescent="0.2">
      <c r="B254" s="21"/>
      <c r="C254" s="34"/>
      <c r="D254" s="37"/>
      <c r="E254" s="34"/>
      <c r="F254" s="187" t="str">
        <f t="shared" si="12"/>
        <v>categorie 2</v>
      </c>
      <c r="G254" s="70"/>
      <c r="H254" s="34"/>
      <c r="I254" s="526">
        <f>ROUND('geg ll'!G224*VLOOKUP($F254,categorieMatVSO,8,FALSE),2)</f>
        <v>0</v>
      </c>
      <c r="J254" s="1535"/>
      <c r="K254" s="526">
        <f>ROUND('geg ll'!H224*VLOOKUP($F254,categorieMatVSO,7,FALSE),2)</f>
        <v>0</v>
      </c>
      <c r="L254" s="526">
        <f>ROUND('geg ll'!I224*VLOOKUP($F254,categorieMatVSO,8,FALSE),2)</f>
        <v>0</v>
      </c>
      <c r="M254" s="526">
        <f>ROUND('geg ll'!J224*VLOOKUP($F254,categorieMatVSO,9,FALSE),2)</f>
        <v>0</v>
      </c>
      <c r="N254" s="526">
        <f>ROUND('geg ll'!K224*VLOOKUP($F254,categorieMatVSO,9,FALSE),2)</f>
        <v>0</v>
      </c>
      <c r="O254" s="526">
        <f>ROUND('geg ll'!L224*VLOOKUP($F254,categorieMatVSO,9,FALSE),2)</f>
        <v>0</v>
      </c>
      <c r="P254" s="34"/>
      <c r="Q254" s="25"/>
    </row>
    <row r="255" spans="2:17" x14ac:dyDescent="0.2">
      <c r="B255" s="21"/>
      <c r="C255" s="34"/>
      <c r="D255" s="37"/>
      <c r="E255" s="34"/>
      <c r="F255" s="187" t="str">
        <f t="shared" si="12"/>
        <v>categorie 3</v>
      </c>
      <c r="G255" s="70"/>
      <c r="H255" s="34"/>
      <c r="I255" s="526">
        <f>ROUND('geg ll'!G225*VLOOKUP($F255,categorieMatVSO,8,FALSE),2)</f>
        <v>0</v>
      </c>
      <c r="J255" s="1535"/>
      <c r="K255" s="526">
        <f>ROUND('geg ll'!H225*VLOOKUP($F255,categorieMatVSO,7,FALSE),2)</f>
        <v>0</v>
      </c>
      <c r="L255" s="526">
        <f>ROUND('geg ll'!I225*VLOOKUP($F255,categorieMatVSO,8,FALSE),2)</f>
        <v>0</v>
      </c>
      <c r="M255" s="526">
        <f>ROUND('geg ll'!J225*VLOOKUP($F255,categorieMatVSO,9,FALSE),2)</f>
        <v>0</v>
      </c>
      <c r="N255" s="526">
        <f>ROUND('geg ll'!K225*VLOOKUP($F255,categorieMatVSO,9,FALSE),2)</f>
        <v>0</v>
      </c>
      <c r="O255" s="526">
        <f>ROUND('geg ll'!L225*VLOOKUP($F255,categorieMatVSO,9,FALSE),2)</f>
        <v>0</v>
      </c>
      <c r="P255" s="34"/>
      <c r="Q255" s="25"/>
    </row>
    <row r="256" spans="2:17" x14ac:dyDescent="0.2">
      <c r="B256" s="21"/>
      <c r="C256" s="34"/>
      <c r="D256" s="566" t="str">
        <f>+D140</f>
        <v>School 33</v>
      </c>
      <c r="E256" s="34"/>
      <c r="F256" s="187" t="str">
        <f t="shared" si="12"/>
        <v>categorie 1</v>
      </c>
      <c r="G256" s="70"/>
      <c r="H256" s="34"/>
      <c r="I256" s="526">
        <f>ROUND('geg ll'!G227*VLOOKUP($F255,categorieMatVSO,8,FALSE),2)</f>
        <v>0</v>
      </c>
      <c r="J256" s="1535"/>
      <c r="K256" s="526">
        <f>ROUND('geg ll'!H227*VLOOKUP($F255,categorieMatVSO,7,FALSE),2)</f>
        <v>0</v>
      </c>
      <c r="L256" s="526">
        <f>ROUND('geg ll'!I227*VLOOKUP($F255,categorieMatVSO,8,FALSE),2)</f>
        <v>0</v>
      </c>
      <c r="M256" s="526">
        <f>ROUND('geg ll'!J227*VLOOKUP($F255,categorieMatVSO,9,FALSE),2)</f>
        <v>0</v>
      </c>
      <c r="N256" s="526">
        <f>ROUND('geg ll'!K227*VLOOKUP($F255,categorieMatVSO,9,FALSE),2)</f>
        <v>0</v>
      </c>
      <c r="O256" s="526">
        <f>ROUND('geg ll'!L227*VLOOKUP($F255,categorieMatVSO,9,FALSE),2)</f>
        <v>0</v>
      </c>
      <c r="P256" s="34"/>
      <c r="Q256" s="25"/>
    </row>
    <row r="257" spans="2:17" x14ac:dyDescent="0.2">
      <c r="B257" s="21"/>
      <c r="C257" s="34"/>
      <c r="D257" s="37"/>
      <c r="E257" s="34"/>
      <c r="F257" s="187" t="str">
        <f t="shared" si="12"/>
        <v>categorie 2</v>
      </c>
      <c r="G257" s="70"/>
      <c r="H257" s="34"/>
      <c r="I257" s="526">
        <f>ROUND('geg ll'!G228*VLOOKUP($F257,categorieMatVSO,8,FALSE),2)</f>
        <v>0</v>
      </c>
      <c r="J257" s="1535"/>
      <c r="K257" s="526">
        <f>ROUND('geg ll'!H228*VLOOKUP($F257,categorieMatVSO,7,FALSE),2)</f>
        <v>0</v>
      </c>
      <c r="L257" s="526">
        <f>ROUND('geg ll'!I228*VLOOKUP($F257,categorieMatVSO,8,FALSE),2)</f>
        <v>0</v>
      </c>
      <c r="M257" s="526">
        <f>ROUND('geg ll'!J228*VLOOKUP($F257,categorieMatVSO,9,FALSE),2)</f>
        <v>0</v>
      </c>
      <c r="N257" s="526">
        <f>ROUND('geg ll'!K228*VLOOKUP($F257,categorieMatVSO,9,FALSE),2)</f>
        <v>0</v>
      </c>
      <c r="O257" s="526">
        <f>ROUND('geg ll'!L228*VLOOKUP($F257,categorieMatVSO,9,FALSE),2)</f>
        <v>0</v>
      </c>
      <c r="P257" s="34"/>
      <c r="Q257" s="25"/>
    </row>
    <row r="258" spans="2:17" x14ac:dyDescent="0.2">
      <c r="B258" s="21"/>
      <c r="C258" s="34"/>
      <c r="D258" s="37"/>
      <c r="E258" s="34"/>
      <c r="F258" s="187" t="str">
        <f t="shared" si="12"/>
        <v>categorie 3</v>
      </c>
      <c r="G258" s="70"/>
      <c r="H258" s="34"/>
      <c r="I258" s="526">
        <f>ROUND('geg ll'!G229*VLOOKUP($F258,categorieMatVSO,8,FALSE),2)</f>
        <v>0</v>
      </c>
      <c r="J258" s="1535"/>
      <c r="K258" s="526">
        <f>ROUND('geg ll'!H229*VLOOKUP($F258,categorieMatVSO,7,FALSE),2)</f>
        <v>0</v>
      </c>
      <c r="L258" s="526">
        <f>ROUND('geg ll'!I229*VLOOKUP($F258,categorieMatVSO,8,FALSE),2)</f>
        <v>0</v>
      </c>
      <c r="M258" s="526">
        <f>ROUND('geg ll'!J229*VLOOKUP($F258,categorieMatVSO,9,FALSE),2)</f>
        <v>0</v>
      </c>
      <c r="N258" s="526">
        <f>ROUND('geg ll'!K229*VLOOKUP($F258,categorieMatVSO,9,FALSE),2)</f>
        <v>0</v>
      </c>
      <c r="O258" s="526">
        <f>ROUND('geg ll'!L229*VLOOKUP($F258,categorieMatVSO,9,FALSE),2)</f>
        <v>0</v>
      </c>
      <c r="P258" s="34"/>
      <c r="Q258" s="25"/>
    </row>
    <row r="259" spans="2:17" x14ac:dyDescent="0.2">
      <c r="B259" s="21"/>
      <c r="C259" s="34"/>
      <c r="D259" s="566" t="str">
        <f>+D143</f>
        <v>School 34</v>
      </c>
      <c r="E259" s="34"/>
      <c r="F259" s="187" t="str">
        <f t="shared" si="12"/>
        <v>categorie 1</v>
      </c>
      <c r="G259" s="70"/>
      <c r="H259" s="34"/>
      <c r="I259" s="526">
        <f>ROUND('geg ll'!G231*VLOOKUP($F259,categorieMatVSO,8,FALSE),2)</f>
        <v>0</v>
      </c>
      <c r="J259" s="1535"/>
      <c r="K259" s="526">
        <f>ROUND('geg ll'!H231*VLOOKUP($F259,categorieMatVSO,7,FALSE),2)</f>
        <v>0</v>
      </c>
      <c r="L259" s="526">
        <f>ROUND('geg ll'!I231*VLOOKUP($F259,categorieMatVSO,8,FALSE),2)</f>
        <v>0</v>
      </c>
      <c r="M259" s="526">
        <f>ROUND('geg ll'!J231*VLOOKUP($F259,categorieMatVSO,9,FALSE),2)</f>
        <v>0</v>
      </c>
      <c r="N259" s="526">
        <f>ROUND('geg ll'!K231*VLOOKUP($F259,categorieMatVSO,9,FALSE),2)</f>
        <v>0</v>
      </c>
      <c r="O259" s="526">
        <f>ROUND('geg ll'!L231*VLOOKUP($F259,categorieMatVSO,9,FALSE),2)</f>
        <v>0</v>
      </c>
      <c r="P259" s="34"/>
      <c r="Q259" s="25"/>
    </row>
    <row r="260" spans="2:17" x14ac:dyDescent="0.2">
      <c r="B260" s="21"/>
      <c r="C260" s="34"/>
      <c r="D260" s="37"/>
      <c r="E260" s="34"/>
      <c r="F260" s="187" t="str">
        <f t="shared" si="12"/>
        <v>categorie 2</v>
      </c>
      <c r="G260" s="70"/>
      <c r="H260" s="34"/>
      <c r="I260" s="526">
        <f>ROUND('geg ll'!G232*VLOOKUP($F260,categorieMatVSO,8,FALSE),2)</f>
        <v>0</v>
      </c>
      <c r="J260" s="1535"/>
      <c r="K260" s="526">
        <f>ROUND('geg ll'!H232*VLOOKUP($F260,categorieMatVSO,7,FALSE),2)</f>
        <v>0</v>
      </c>
      <c r="L260" s="526">
        <f>ROUND('geg ll'!I232*VLOOKUP($F260,categorieMatVSO,8,FALSE),2)</f>
        <v>0</v>
      </c>
      <c r="M260" s="526">
        <f>ROUND('geg ll'!J232*VLOOKUP($F260,categorieMatVSO,9,FALSE),2)</f>
        <v>0</v>
      </c>
      <c r="N260" s="526">
        <f>ROUND('geg ll'!K232*VLOOKUP($F260,categorieMatVSO,9,FALSE),2)</f>
        <v>0</v>
      </c>
      <c r="O260" s="526">
        <f>ROUND('geg ll'!L232*VLOOKUP($F260,categorieMatVSO,9,FALSE),2)</f>
        <v>0</v>
      </c>
      <c r="P260" s="34"/>
      <c r="Q260" s="25"/>
    </row>
    <row r="261" spans="2:17" x14ac:dyDescent="0.2">
      <c r="B261" s="21"/>
      <c r="C261" s="34"/>
      <c r="D261" s="37"/>
      <c r="E261" s="34"/>
      <c r="F261" s="187" t="str">
        <f t="shared" si="12"/>
        <v>categorie 3</v>
      </c>
      <c r="G261" s="70"/>
      <c r="H261" s="34"/>
      <c r="I261" s="526">
        <f>ROUND('geg ll'!G233*VLOOKUP($F261,categorieMatVSO,8,FALSE),2)</f>
        <v>0</v>
      </c>
      <c r="J261" s="1535"/>
      <c r="K261" s="526">
        <f>ROUND('geg ll'!H233*VLOOKUP($F261,categorieMatVSO,7,FALSE),2)</f>
        <v>0</v>
      </c>
      <c r="L261" s="526">
        <f>ROUND('geg ll'!I233*VLOOKUP($F261,categorieMatVSO,8,FALSE),2)</f>
        <v>0</v>
      </c>
      <c r="M261" s="526">
        <f>ROUND('geg ll'!J233*VLOOKUP($F261,categorieMatVSO,9,FALSE),2)</f>
        <v>0</v>
      </c>
      <c r="N261" s="526">
        <f>ROUND('geg ll'!K233*VLOOKUP($F261,categorieMatVSO,9,FALSE),2)</f>
        <v>0</v>
      </c>
      <c r="O261" s="526">
        <f>ROUND('geg ll'!L233*VLOOKUP($F261,categorieMatVSO,9,FALSE),2)</f>
        <v>0</v>
      </c>
      <c r="P261" s="34"/>
      <c r="Q261" s="25"/>
    </row>
    <row r="262" spans="2:17" x14ac:dyDescent="0.2">
      <c r="B262" s="21"/>
      <c r="C262" s="34"/>
      <c r="D262" s="566" t="str">
        <f>+D146</f>
        <v>School 35</v>
      </c>
      <c r="E262" s="34"/>
      <c r="F262" s="187" t="str">
        <f t="shared" si="12"/>
        <v>categorie 1</v>
      </c>
      <c r="G262" s="70"/>
      <c r="H262" s="34"/>
      <c r="I262" s="526">
        <f>ROUND('geg ll'!G235*VLOOKUP($F262,categorieMatVSO,8,FALSE),2)</f>
        <v>0</v>
      </c>
      <c r="J262" s="1535"/>
      <c r="K262" s="526">
        <f>ROUND('geg ll'!H235*VLOOKUP($F262,categorieMatVSO,7,FALSE),2)</f>
        <v>0</v>
      </c>
      <c r="L262" s="526">
        <f>ROUND('geg ll'!I235*VLOOKUP($F262,categorieMatVSO,8,FALSE),2)</f>
        <v>0</v>
      </c>
      <c r="M262" s="526">
        <f>ROUND('geg ll'!J235*VLOOKUP($F262,categorieMatVSO,9,FALSE),2)</f>
        <v>0</v>
      </c>
      <c r="N262" s="526">
        <f>ROUND('geg ll'!K235*VLOOKUP($F262,categorieMatVSO,9,FALSE),2)</f>
        <v>0</v>
      </c>
      <c r="O262" s="526">
        <f>ROUND('geg ll'!L235*VLOOKUP($F262,categorieMatVSO,9,FALSE),2)</f>
        <v>0</v>
      </c>
      <c r="P262" s="34"/>
      <c r="Q262" s="25"/>
    </row>
    <row r="263" spans="2:17" x14ac:dyDescent="0.2">
      <c r="B263" s="21"/>
      <c r="C263" s="34"/>
      <c r="D263" s="37"/>
      <c r="E263" s="34"/>
      <c r="F263" s="187" t="str">
        <f t="shared" si="12"/>
        <v>categorie 2</v>
      </c>
      <c r="G263" s="70"/>
      <c r="H263" s="34"/>
      <c r="I263" s="526">
        <f>ROUND('geg ll'!G236*VLOOKUP($F263,categorieMatVSO,8,FALSE),2)</f>
        <v>0</v>
      </c>
      <c r="J263" s="1535"/>
      <c r="K263" s="526">
        <f>ROUND('geg ll'!H236*VLOOKUP($F263,categorieMatVSO,7,FALSE),2)</f>
        <v>0</v>
      </c>
      <c r="L263" s="526">
        <f>ROUND('geg ll'!I236*VLOOKUP($F263,categorieMatVSO,8,FALSE),2)</f>
        <v>0</v>
      </c>
      <c r="M263" s="526">
        <f>ROUND('geg ll'!J236*VLOOKUP($F263,categorieMatVSO,9,FALSE),2)</f>
        <v>0</v>
      </c>
      <c r="N263" s="526">
        <f>ROUND('geg ll'!K236*VLOOKUP($F263,categorieMatVSO,9,FALSE),2)</f>
        <v>0</v>
      </c>
      <c r="O263" s="526">
        <f>ROUND('geg ll'!L236*VLOOKUP($F263,categorieMatVSO,9,FALSE),2)</f>
        <v>0</v>
      </c>
      <c r="P263" s="34"/>
      <c r="Q263" s="25"/>
    </row>
    <row r="264" spans="2:17" x14ac:dyDescent="0.2">
      <c r="B264" s="21"/>
      <c r="C264" s="34"/>
      <c r="D264" s="37"/>
      <c r="E264" s="34"/>
      <c r="F264" s="187" t="str">
        <f t="shared" si="12"/>
        <v>categorie 3</v>
      </c>
      <c r="G264" s="70"/>
      <c r="H264" s="34"/>
      <c r="I264" s="526">
        <f>ROUND('geg ll'!G237*VLOOKUP($F264,categorieMatVSO,8,FALSE),2)</f>
        <v>0</v>
      </c>
      <c r="J264" s="1535"/>
      <c r="K264" s="526">
        <f>ROUND('geg ll'!H237*VLOOKUP($F264,categorieMatVSO,7,FALSE),2)</f>
        <v>0</v>
      </c>
      <c r="L264" s="526">
        <f>ROUND('geg ll'!I237*VLOOKUP($F264,categorieMatVSO,8,FALSE),2)</f>
        <v>0</v>
      </c>
      <c r="M264" s="526">
        <f>ROUND('geg ll'!J237*VLOOKUP($F264,categorieMatVSO,9,FALSE),2)</f>
        <v>0</v>
      </c>
      <c r="N264" s="526">
        <f>ROUND('geg ll'!K237*VLOOKUP($F264,categorieMatVSO,9,FALSE),2)</f>
        <v>0</v>
      </c>
      <c r="O264" s="526">
        <f>ROUND('geg ll'!L237*VLOOKUP($F264,categorieMatVSO,9,FALSE),2)</f>
        <v>0</v>
      </c>
      <c r="P264" s="34"/>
      <c r="Q264" s="25"/>
    </row>
    <row r="265" spans="2:17" x14ac:dyDescent="0.2">
      <c r="B265" s="21"/>
      <c r="C265" s="34"/>
      <c r="D265" s="36"/>
      <c r="E265" s="34"/>
      <c r="F265" s="36"/>
      <c r="G265" s="36"/>
      <c r="H265" s="34"/>
      <c r="I265" s="392"/>
      <c r="J265" s="1580"/>
      <c r="K265" s="392"/>
      <c r="L265" s="392"/>
      <c r="M265" s="392"/>
      <c r="N265" s="392"/>
      <c r="O265" s="392"/>
      <c r="P265" s="34"/>
      <c r="Q265" s="25"/>
    </row>
    <row r="266" spans="2:17" x14ac:dyDescent="0.2">
      <c r="B266" s="21"/>
      <c r="C266" s="34"/>
      <c r="D266" s="36" t="s">
        <v>8</v>
      </c>
      <c r="E266" s="34"/>
      <c r="F266" s="34"/>
      <c r="G266" s="34"/>
      <c r="H266" s="34"/>
      <c r="I266" s="525">
        <f t="shared" ref="I266:N266" si="13">SUM(I160:I204) +SUM(I205:I264)</f>
        <v>352959.82000000007</v>
      </c>
      <c r="J266" s="1581"/>
      <c r="K266" s="525">
        <f t="shared" si="13"/>
        <v>363562.76</v>
      </c>
      <c r="L266" s="525">
        <f t="shared" si="13"/>
        <v>357081.66000000003</v>
      </c>
      <c r="M266" s="525">
        <f t="shared" si="13"/>
        <v>357081.66000000003</v>
      </c>
      <c r="N266" s="525">
        <f t="shared" si="13"/>
        <v>357081.66000000003</v>
      </c>
      <c r="O266" s="525">
        <f>SUM(O160:O204) +SUM(O205:O264)</f>
        <v>357081.66000000003</v>
      </c>
      <c r="P266" s="34"/>
      <c r="Q266" s="25"/>
    </row>
    <row r="267" spans="2:17" x14ac:dyDescent="0.2">
      <c r="B267" s="21"/>
      <c r="C267" s="34"/>
      <c r="D267" s="34"/>
      <c r="E267" s="34"/>
      <c r="F267" s="34"/>
      <c r="G267" s="34"/>
      <c r="H267" s="34"/>
      <c r="I267" s="394"/>
      <c r="J267" s="1535"/>
      <c r="K267" s="394"/>
      <c r="L267" s="394"/>
      <c r="M267" s="394"/>
      <c r="N267" s="394"/>
      <c r="O267" s="394"/>
      <c r="P267" s="34"/>
      <c r="Q267" s="25"/>
    </row>
    <row r="268" spans="2:17" x14ac:dyDescent="0.2">
      <c r="B268" s="21"/>
      <c r="C268" s="22"/>
      <c r="D268" s="22"/>
      <c r="E268" s="22"/>
      <c r="F268" s="22"/>
      <c r="G268" s="22"/>
      <c r="H268" s="22"/>
      <c r="I268" s="160"/>
      <c r="J268" s="160"/>
      <c r="K268" s="160"/>
      <c r="L268" s="160"/>
      <c r="M268" s="160"/>
      <c r="N268" s="160"/>
      <c r="O268" s="160"/>
      <c r="P268" s="22"/>
      <c r="Q268" s="25"/>
    </row>
    <row r="269" spans="2:17" x14ac:dyDescent="0.2">
      <c r="B269" s="180"/>
      <c r="C269" s="162"/>
      <c r="D269" s="162"/>
      <c r="E269" s="162"/>
      <c r="F269" s="162"/>
      <c r="G269" s="162"/>
      <c r="H269" s="162"/>
      <c r="I269" s="163"/>
      <c r="J269" s="163"/>
      <c r="K269" s="163"/>
      <c r="L269" s="163"/>
      <c r="M269" s="163"/>
      <c r="N269" s="163"/>
      <c r="O269" s="163"/>
      <c r="P269" s="162"/>
      <c r="Q269" s="181"/>
    </row>
    <row r="270" spans="2:17" x14ac:dyDescent="0.2">
      <c r="I270" s="164"/>
      <c r="J270" s="164"/>
      <c r="K270" s="164"/>
      <c r="L270" s="164"/>
      <c r="M270" s="164"/>
      <c r="N270" s="164"/>
      <c r="O270" s="164"/>
    </row>
    <row r="271" spans="2:17" x14ac:dyDescent="0.2">
      <c r="I271" s="164"/>
      <c r="J271" s="164"/>
      <c r="K271" s="164"/>
      <c r="L271" s="164"/>
      <c r="M271" s="164"/>
      <c r="N271" s="164"/>
      <c r="O271" s="164"/>
    </row>
    <row r="272" spans="2:17" x14ac:dyDescent="0.2">
      <c r="I272" s="164"/>
      <c r="J272" s="164"/>
      <c r="K272" s="164"/>
      <c r="L272" s="164"/>
      <c r="M272" s="164"/>
      <c r="N272" s="164"/>
      <c r="O272" s="164"/>
    </row>
    <row r="273" spans="2:46" x14ac:dyDescent="0.2">
      <c r="I273" s="164"/>
      <c r="J273" s="164"/>
      <c r="K273" s="164"/>
      <c r="L273" s="164"/>
      <c r="M273" s="164"/>
      <c r="N273" s="164"/>
      <c r="O273" s="164"/>
    </row>
    <row r="274" spans="2:46" x14ac:dyDescent="0.2">
      <c r="I274" s="164"/>
      <c r="J274" s="164"/>
      <c r="K274" s="164"/>
      <c r="L274" s="164"/>
      <c r="M274" s="164"/>
      <c r="N274" s="164"/>
      <c r="O274" s="164"/>
    </row>
    <row r="275" spans="2:46" x14ac:dyDescent="0.2">
      <c r="I275" s="164"/>
      <c r="J275" s="164"/>
      <c r="K275" s="164"/>
      <c r="L275" s="164"/>
      <c r="M275" s="164"/>
      <c r="N275" s="164"/>
      <c r="O275" s="164"/>
    </row>
    <row r="276" spans="2:46" x14ac:dyDescent="0.2">
      <c r="I276" s="164"/>
      <c r="J276" s="164"/>
      <c r="K276" s="164"/>
      <c r="L276" s="164"/>
      <c r="M276" s="164"/>
      <c r="N276" s="164"/>
      <c r="O276" s="164"/>
    </row>
    <row r="277" spans="2:46" x14ac:dyDescent="0.2">
      <c r="B277" s="6"/>
      <c r="C277" s="6"/>
      <c r="D277" s="6"/>
      <c r="E277" s="6"/>
      <c r="F277" s="6"/>
      <c r="G277" s="6"/>
      <c r="H277" s="6"/>
      <c r="I277" s="385"/>
      <c r="J277" s="385"/>
      <c r="K277" s="385"/>
      <c r="L277" s="385"/>
      <c r="M277" s="385"/>
      <c r="N277" s="385"/>
      <c r="O277" s="385"/>
      <c r="P277" s="6"/>
      <c r="Q277" s="6"/>
    </row>
    <row r="278" spans="2:46" x14ac:dyDescent="0.2">
      <c r="B278" s="6"/>
      <c r="C278" s="6"/>
      <c r="D278" s="17"/>
      <c r="E278" s="6"/>
      <c r="F278" s="6"/>
      <c r="G278" s="6"/>
      <c r="H278" s="6"/>
      <c r="I278" s="385"/>
      <c r="J278" s="385"/>
      <c r="K278" s="385"/>
      <c r="L278" s="385"/>
      <c r="M278" s="385"/>
      <c r="N278" s="385"/>
      <c r="O278" s="385"/>
      <c r="P278" s="6"/>
      <c r="Q278" s="6"/>
    </row>
    <row r="279" spans="2:46" x14ac:dyDescent="0.2">
      <c r="B279" s="6"/>
      <c r="C279" s="6"/>
      <c r="D279" s="17"/>
      <c r="E279" s="6"/>
      <c r="F279" s="6"/>
      <c r="G279" s="6"/>
      <c r="H279" s="6"/>
      <c r="I279" s="385"/>
      <c r="J279" s="385"/>
      <c r="K279" s="385"/>
      <c r="L279" s="385"/>
      <c r="M279" s="385"/>
      <c r="N279" s="385"/>
      <c r="O279" s="385"/>
      <c r="P279" s="6"/>
      <c r="Q279" s="6"/>
    </row>
    <row r="280" spans="2:46" x14ac:dyDescent="0.2">
      <c r="B280" s="6"/>
      <c r="C280" s="6"/>
      <c r="D280" s="17"/>
      <c r="E280" s="6"/>
      <c r="F280" s="6"/>
      <c r="G280" s="6"/>
      <c r="H280" s="6"/>
      <c r="I280" s="385"/>
      <c r="J280" s="385"/>
      <c r="K280" s="385"/>
      <c r="L280" s="385"/>
      <c r="M280" s="385"/>
      <c r="N280" s="385"/>
      <c r="O280" s="385"/>
      <c r="P280" s="6"/>
      <c r="Q280" s="6"/>
    </row>
    <row r="281" spans="2:46" x14ac:dyDescent="0.2">
      <c r="B281" s="6"/>
      <c r="C281" s="6"/>
      <c r="D281" s="17"/>
      <c r="E281" s="6"/>
      <c r="F281" s="6"/>
      <c r="G281" s="6"/>
      <c r="H281" s="6"/>
      <c r="I281" s="385"/>
      <c r="J281" s="385"/>
      <c r="K281" s="385"/>
      <c r="L281" s="385"/>
      <c r="M281" s="385"/>
      <c r="N281" s="385"/>
      <c r="O281" s="385"/>
      <c r="P281" s="6"/>
      <c r="Q281" s="6"/>
      <c r="AH281" s="386"/>
    </row>
    <row r="282" spans="2:46" x14ac:dyDescent="0.2">
      <c r="B282" s="6"/>
      <c r="C282" s="6"/>
      <c r="D282" s="17"/>
      <c r="E282" s="6"/>
      <c r="F282" s="6"/>
      <c r="G282" s="6"/>
      <c r="H282" s="6"/>
      <c r="I282" s="385"/>
      <c r="J282" s="385"/>
      <c r="K282" s="385"/>
      <c r="L282" s="385"/>
      <c r="M282" s="385"/>
      <c r="N282" s="385"/>
      <c r="O282" s="385"/>
      <c r="P282" s="6"/>
      <c r="Q282" s="6"/>
      <c r="AF282" s="790"/>
      <c r="AG282" s="790"/>
      <c r="AH282" s="387"/>
    </row>
    <row r="283" spans="2:46" x14ac:dyDescent="0.2">
      <c r="B283" s="6"/>
      <c r="C283" s="6"/>
      <c r="D283" s="6"/>
      <c r="E283" s="6"/>
      <c r="F283" s="6"/>
      <c r="G283" s="6"/>
      <c r="H283" s="6"/>
      <c r="I283" s="385"/>
      <c r="J283" s="385"/>
      <c r="K283" s="385"/>
      <c r="L283" s="385"/>
      <c r="M283" s="385"/>
      <c r="N283" s="385"/>
      <c r="O283" s="385"/>
      <c r="P283" s="6"/>
      <c r="Q283" s="6"/>
      <c r="AF283" s="790"/>
      <c r="AG283" s="790"/>
      <c r="AH283" s="386"/>
      <c r="AT283" s="388"/>
    </row>
    <row r="284" spans="2:46" x14ac:dyDescent="0.2">
      <c r="B284" s="6"/>
      <c r="C284" s="6"/>
      <c r="D284" s="17"/>
      <c r="E284" s="6"/>
      <c r="F284" s="6"/>
      <c r="G284" s="6"/>
      <c r="H284" s="6"/>
      <c r="I284" s="385"/>
      <c r="J284" s="385"/>
      <c r="K284" s="385"/>
      <c r="L284" s="385"/>
      <c r="M284" s="385"/>
      <c r="N284" s="385"/>
      <c r="O284" s="385"/>
      <c r="P284" s="6"/>
      <c r="Q284" s="6"/>
      <c r="AF284" s="790"/>
      <c r="AG284" s="790"/>
      <c r="AH284" s="389"/>
      <c r="AT284" s="388"/>
    </row>
    <row r="285" spans="2:46" x14ac:dyDescent="0.2">
      <c r="B285" s="6"/>
      <c r="C285" s="6"/>
      <c r="D285" s="17"/>
      <c r="E285" s="6"/>
      <c r="F285" s="6"/>
      <c r="G285" s="6"/>
      <c r="H285" s="6"/>
      <c r="I285" s="385"/>
      <c r="J285" s="385"/>
      <c r="K285" s="385"/>
      <c r="L285" s="385"/>
      <c r="M285" s="385"/>
      <c r="N285" s="385"/>
      <c r="O285" s="385"/>
      <c r="P285" s="6"/>
      <c r="Q285" s="6"/>
      <c r="AF285" s="790"/>
      <c r="AG285" s="790"/>
      <c r="AH285" s="386"/>
    </row>
    <row r="286" spans="2:46" x14ac:dyDescent="0.2">
      <c r="B286" s="6"/>
      <c r="C286" s="6"/>
      <c r="D286" s="17"/>
      <c r="E286" s="6"/>
      <c r="F286" s="6"/>
      <c r="G286" s="6"/>
      <c r="H286" s="6"/>
      <c r="I286" s="385"/>
      <c r="J286" s="385"/>
      <c r="K286" s="385"/>
      <c r="L286" s="385"/>
      <c r="M286" s="385"/>
      <c r="N286" s="385"/>
      <c r="O286" s="385"/>
      <c r="P286" s="6"/>
      <c r="Q286" s="6"/>
      <c r="AF286" s="790"/>
      <c r="AG286" s="790"/>
      <c r="AH286" s="386"/>
    </row>
    <row r="287" spans="2:46" x14ac:dyDescent="0.2">
      <c r="B287" s="6"/>
      <c r="C287" s="6"/>
      <c r="D287" s="6"/>
      <c r="E287" s="6"/>
      <c r="F287" s="6"/>
      <c r="G287" s="6"/>
      <c r="H287" s="6"/>
      <c r="I287" s="385"/>
      <c r="J287" s="385"/>
      <c r="K287" s="385"/>
      <c r="L287" s="385"/>
      <c r="M287" s="385"/>
      <c r="N287" s="385"/>
      <c r="O287" s="385"/>
      <c r="P287" s="6"/>
      <c r="Q287" s="6"/>
    </row>
    <row r="289" spans="1:44" x14ac:dyDescent="0.2">
      <c r="A289" s="192"/>
    </row>
    <row r="292" spans="1:44" x14ac:dyDescent="0.2">
      <c r="AI292" s="6"/>
      <c r="AJ292" s="6"/>
      <c r="AK292" s="6"/>
      <c r="AL292" s="390"/>
      <c r="AM292" s="390"/>
      <c r="AN292" s="390"/>
      <c r="AO292" s="390"/>
      <c r="AP292" s="390"/>
      <c r="AQ292" s="6"/>
      <c r="AR292" s="6"/>
    </row>
    <row r="293" spans="1:44" x14ac:dyDescent="0.2">
      <c r="AI293" s="6"/>
      <c r="AJ293" s="6"/>
      <c r="AK293" s="6"/>
      <c r="AL293" s="390"/>
      <c r="AM293" s="390"/>
      <c r="AN293" s="390"/>
      <c r="AO293" s="390"/>
      <c r="AP293" s="390"/>
      <c r="AQ293" s="6"/>
      <c r="AR293" s="6"/>
    </row>
    <row r="294" spans="1:44" x14ac:dyDescent="0.2">
      <c r="AI294" s="6"/>
      <c r="AJ294" s="6"/>
      <c r="AK294" s="6"/>
      <c r="AL294" s="390"/>
      <c r="AM294" s="390"/>
      <c r="AN294" s="390"/>
      <c r="AO294" s="390"/>
      <c r="AP294" s="390"/>
      <c r="AQ294" s="6"/>
      <c r="AR294" s="6"/>
    </row>
    <row r="295" spans="1:44" x14ac:dyDescent="0.2">
      <c r="AI295" s="6"/>
      <c r="AJ295" s="6"/>
      <c r="AK295" s="6"/>
      <c r="AL295" s="390"/>
      <c r="AM295" s="390"/>
      <c r="AN295" s="390"/>
      <c r="AO295" s="390"/>
      <c r="AP295" s="390"/>
      <c r="AQ295" s="6"/>
      <c r="AR295" s="6"/>
    </row>
    <row r="296" spans="1:44" x14ac:dyDescent="0.2">
      <c r="AI296" s="6"/>
      <c r="AJ296" s="6"/>
      <c r="AK296" s="6"/>
      <c r="AL296" s="390"/>
      <c r="AM296" s="390"/>
      <c r="AN296" s="390"/>
      <c r="AO296" s="390"/>
      <c r="AP296" s="390"/>
      <c r="AQ296" s="6"/>
      <c r="AR296" s="6"/>
    </row>
    <row r="297" spans="1:44" x14ac:dyDescent="0.2">
      <c r="AI297" s="6"/>
      <c r="AJ297" s="6"/>
      <c r="AK297" s="6"/>
      <c r="AL297" s="390"/>
      <c r="AM297" s="390"/>
      <c r="AN297" s="390"/>
      <c r="AO297" s="390"/>
      <c r="AP297" s="390"/>
      <c r="AQ297" s="6"/>
      <c r="AR297" s="6"/>
    </row>
    <row r="298" spans="1:44" x14ac:dyDescent="0.2">
      <c r="AI298" s="6"/>
      <c r="AJ298" s="6"/>
      <c r="AK298" s="6"/>
      <c r="AL298" s="390"/>
      <c r="AM298" s="390"/>
      <c r="AN298" s="390"/>
      <c r="AO298" s="390"/>
      <c r="AP298" s="390"/>
      <c r="AQ298" s="6"/>
      <c r="AR298" s="6"/>
    </row>
    <row r="299" spans="1:44" x14ac:dyDescent="0.2">
      <c r="AI299" s="6"/>
      <c r="AJ299" s="6"/>
      <c r="AK299" s="6"/>
      <c r="AL299" s="390"/>
      <c r="AM299" s="390"/>
      <c r="AN299" s="390"/>
      <c r="AO299" s="390"/>
      <c r="AP299" s="390"/>
      <c r="AQ299" s="6"/>
      <c r="AR299" s="6"/>
    </row>
    <row r="300" spans="1:44" x14ac:dyDescent="0.2">
      <c r="AI300" s="6"/>
      <c r="AJ300" s="6"/>
      <c r="AK300" s="6"/>
      <c r="AL300" s="390"/>
      <c r="AM300" s="390"/>
      <c r="AN300" s="390"/>
      <c r="AO300" s="390"/>
      <c r="AP300" s="390"/>
      <c r="AQ300" s="6"/>
      <c r="AR300" s="6"/>
    </row>
    <row r="301" spans="1:44" x14ac:dyDescent="0.2">
      <c r="AI301" s="6"/>
      <c r="AJ301" s="6"/>
      <c r="AK301" s="6"/>
      <c r="AL301" s="390"/>
      <c r="AM301" s="390"/>
      <c r="AN301" s="390"/>
      <c r="AO301" s="390"/>
      <c r="AP301" s="390"/>
      <c r="AQ301" s="6"/>
      <c r="AR301" s="6"/>
    </row>
    <row r="302" spans="1:44" x14ac:dyDescent="0.2">
      <c r="AI302" s="6"/>
      <c r="AJ302" s="6"/>
      <c r="AK302" s="6"/>
      <c r="AL302" s="390"/>
      <c r="AM302" s="390"/>
      <c r="AN302" s="390"/>
      <c r="AO302" s="390"/>
      <c r="AP302" s="390"/>
      <c r="AQ302" s="6"/>
      <c r="AR302" s="6"/>
    </row>
    <row r="306" spans="1:32" s="192" customFormat="1" x14ac:dyDescent="0.2">
      <c r="A306" s="164"/>
      <c r="B306" s="164"/>
      <c r="C306" s="164"/>
      <c r="D306" s="164"/>
      <c r="E306" s="164"/>
      <c r="F306" s="164"/>
      <c r="G306" s="164"/>
      <c r="H306" s="164"/>
      <c r="I306" s="391"/>
      <c r="J306" s="391"/>
      <c r="K306" s="391"/>
      <c r="L306" s="391"/>
      <c r="M306" s="391"/>
      <c r="N306" s="391"/>
      <c r="O306" s="391"/>
      <c r="P306" s="164"/>
      <c r="Q306" s="164"/>
      <c r="T306" s="164"/>
      <c r="U306" s="164"/>
      <c r="V306" s="164"/>
      <c r="W306" s="164"/>
      <c r="X306" s="164"/>
      <c r="Y306" s="164"/>
      <c r="Z306" s="164"/>
      <c r="AA306" s="164"/>
      <c r="AB306" s="164"/>
      <c r="AC306" s="164"/>
      <c r="AD306" s="164"/>
      <c r="AE306" s="164"/>
      <c r="AF306" s="164"/>
    </row>
    <row r="311" spans="1:32" x14ac:dyDescent="0.2">
      <c r="R311" s="6"/>
      <c r="S311" s="6"/>
    </row>
    <row r="312" spans="1:32" x14ac:dyDescent="0.2">
      <c r="R312" s="6"/>
      <c r="S312" s="6"/>
    </row>
    <row r="313" spans="1:32" x14ac:dyDescent="0.2">
      <c r="R313" s="6"/>
      <c r="S313" s="6"/>
    </row>
    <row r="314" spans="1:32" x14ac:dyDescent="0.2">
      <c r="R314" s="6"/>
      <c r="S314" s="6"/>
    </row>
    <row r="315" spans="1:32" x14ac:dyDescent="0.2">
      <c r="R315" s="6"/>
      <c r="S315" s="6"/>
    </row>
    <row r="316" spans="1:32" x14ac:dyDescent="0.2">
      <c r="R316" s="6"/>
      <c r="S316" s="6"/>
    </row>
    <row r="317" spans="1:32" x14ac:dyDescent="0.2">
      <c r="R317" s="6"/>
      <c r="S317" s="6"/>
    </row>
    <row r="318" spans="1:32" x14ac:dyDescent="0.2">
      <c r="R318" s="6"/>
      <c r="S318" s="6"/>
    </row>
    <row r="319" spans="1:32" x14ac:dyDescent="0.2">
      <c r="R319" s="6"/>
      <c r="S319" s="6"/>
    </row>
    <row r="320" spans="1:32" x14ac:dyDescent="0.2">
      <c r="R320" s="6"/>
      <c r="S320" s="6"/>
    </row>
    <row r="321" spans="18:19" x14ac:dyDescent="0.2">
      <c r="R321" s="6"/>
      <c r="S321" s="6"/>
    </row>
  </sheetData>
  <phoneticPr fontId="0" type="noConversion"/>
  <pageMargins left="0.74803149606299213" right="0.74803149606299213" top="0.98425196850393704" bottom="0.98425196850393704" header="0.51181102362204722" footer="0.51181102362204722"/>
  <pageSetup paperSize="9" scale="48"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36" min="1" max="14" man="1"/>
    <brk id="94" min="18" max="31" man="1"/>
    <brk id="153" min="1" max="1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C107"/>
  <sheetViews>
    <sheetView showGridLines="0" zoomScale="85" zoomScaleNormal="85" zoomScaleSheetLayoutView="85" workbookViewId="0">
      <selection activeCell="B2" sqref="B2"/>
    </sheetView>
  </sheetViews>
  <sheetFormatPr defaultRowHeight="12.75" x14ac:dyDescent="0.2"/>
  <cols>
    <col min="1" max="1" width="3.7109375" style="164" customWidth="1"/>
    <col min="2" max="2" width="2.7109375" style="164" customWidth="1"/>
    <col min="3" max="3" width="13.140625" style="164" customWidth="1"/>
    <col min="4" max="4" width="30.7109375" style="164" customWidth="1"/>
    <col min="5" max="5" width="15.5703125" style="164" customWidth="1"/>
    <col min="6" max="6" width="2.7109375" style="164" customWidth="1"/>
    <col min="7" max="7" width="14.85546875" style="164" hidden="1" customWidth="1"/>
    <col min="8" max="13" width="14.85546875" style="391" customWidth="1"/>
    <col min="14" max="15" width="2.7109375" style="164" customWidth="1"/>
    <col min="16" max="16" width="9.140625" style="164"/>
    <col min="17" max="17" width="10" style="164" bestFit="1" customWidth="1"/>
    <col min="18" max="16384" width="9.140625" style="164"/>
  </cols>
  <sheetData>
    <row r="2" spans="2:15" x14ac:dyDescent="0.2">
      <c r="B2" s="18"/>
      <c r="C2" s="19"/>
      <c r="D2" s="19"/>
      <c r="E2" s="19"/>
      <c r="F2" s="19"/>
      <c r="G2" s="161"/>
      <c r="H2" s="161"/>
      <c r="I2" s="161"/>
      <c r="J2" s="161"/>
      <c r="K2" s="161"/>
      <c r="L2" s="161"/>
      <c r="M2" s="161"/>
      <c r="N2" s="19"/>
      <c r="O2" s="20"/>
    </row>
    <row r="3" spans="2:15" x14ac:dyDescent="0.2">
      <c r="B3" s="21"/>
      <c r="C3" s="22"/>
      <c r="D3" s="22"/>
      <c r="E3" s="22"/>
      <c r="F3" s="22"/>
      <c r="G3" s="160"/>
      <c r="H3" s="160"/>
      <c r="I3" s="160"/>
      <c r="J3" s="160"/>
      <c r="K3" s="160"/>
      <c r="L3" s="160"/>
      <c r="M3" s="160"/>
      <c r="N3" s="22"/>
      <c r="O3" s="25"/>
    </row>
    <row r="4" spans="2:15" s="167" customFormat="1" ht="18.75" x14ac:dyDescent="0.3">
      <c r="B4" s="172"/>
      <c r="C4" s="602" t="s">
        <v>865</v>
      </c>
      <c r="D4" s="174"/>
      <c r="E4" s="174"/>
      <c r="F4" s="174"/>
      <c r="G4" s="381"/>
      <c r="H4" s="381"/>
      <c r="I4" s="381"/>
      <c r="J4" s="381"/>
      <c r="K4" s="381"/>
      <c r="L4" s="381"/>
      <c r="M4" s="381"/>
      <c r="N4" s="174"/>
      <c r="O4" s="176"/>
    </row>
    <row r="5" spans="2:15" s="168" customFormat="1" ht="18.75" x14ac:dyDescent="0.3">
      <c r="B5" s="26"/>
      <c r="C5" s="1358" t="str">
        <f>'geg ll'!C5</f>
        <v>Voorbeeld SWV VO Alkmaar</v>
      </c>
      <c r="D5" s="27"/>
      <c r="E5" s="27"/>
      <c r="F5" s="27"/>
      <c r="G5" s="382"/>
      <c r="H5" s="382"/>
      <c r="I5" s="382"/>
      <c r="J5" s="382"/>
      <c r="K5" s="382"/>
      <c r="L5" s="382"/>
      <c r="M5" s="382"/>
      <c r="N5" s="27"/>
      <c r="O5" s="28"/>
    </row>
    <row r="6" spans="2:15" x14ac:dyDescent="0.2">
      <c r="B6" s="21"/>
      <c r="C6" s="22"/>
      <c r="D6" s="22"/>
      <c r="E6" s="22"/>
      <c r="F6" s="22"/>
      <c r="G6" s="160"/>
      <c r="H6" s="160"/>
      <c r="I6" s="160"/>
      <c r="J6" s="160"/>
      <c r="K6" s="160"/>
      <c r="L6" s="160"/>
      <c r="M6" s="160"/>
      <c r="N6" s="22"/>
      <c r="O6" s="25"/>
    </row>
    <row r="7" spans="2:15" ht="15" x14ac:dyDescent="0.25">
      <c r="B7" s="21"/>
      <c r="C7" s="853" t="s">
        <v>494</v>
      </c>
      <c r="D7" s="22"/>
      <c r="E7" s="22"/>
      <c r="F7" s="22"/>
      <c r="G7" s="160"/>
      <c r="H7" s="160"/>
      <c r="I7" s="160"/>
      <c r="J7" s="160"/>
      <c r="K7" s="160"/>
      <c r="L7" s="160"/>
      <c r="M7" s="160"/>
      <c r="N7" s="22"/>
      <c r="O7" s="25"/>
    </row>
    <row r="8" spans="2:15" x14ac:dyDescent="0.2">
      <c r="B8" s="21"/>
      <c r="C8" s="22"/>
      <c r="D8" s="22"/>
      <c r="E8" s="569" t="s">
        <v>119</v>
      </c>
      <c r="F8" s="570"/>
      <c r="G8" s="576" t="str">
        <f>+tab!E2</f>
        <v>2018/19</v>
      </c>
      <c r="H8" s="576" t="str">
        <f>+tab!F2</f>
        <v>2019/20</v>
      </c>
      <c r="I8" s="576" t="str">
        <f>+tab!G2</f>
        <v>2020/21</v>
      </c>
      <c r="J8" s="576" t="str">
        <f>+tab!H2</f>
        <v>2021/22</v>
      </c>
      <c r="K8" s="576" t="str">
        <f>+tab!I2</f>
        <v>2022/23</v>
      </c>
      <c r="L8" s="576" t="str">
        <f>+tab!J2</f>
        <v>2023/24</v>
      </c>
      <c r="M8" s="576" t="str">
        <f>+tab!K2</f>
        <v>2024/25</v>
      </c>
      <c r="N8" s="22"/>
      <c r="O8" s="25"/>
    </row>
    <row r="9" spans="2:15" x14ac:dyDescent="0.2">
      <c r="B9" s="21"/>
      <c r="C9" s="22"/>
      <c r="D9" s="22"/>
      <c r="E9" s="569" t="s">
        <v>137</v>
      </c>
      <c r="F9" s="570"/>
      <c r="G9" s="560">
        <f>+tab!E4</f>
        <v>2018</v>
      </c>
      <c r="H9" s="560">
        <f>+tab!F4</f>
        <v>2019</v>
      </c>
      <c r="I9" s="560">
        <f>+tab!G4</f>
        <v>2020</v>
      </c>
      <c r="J9" s="560">
        <f>+tab!H4</f>
        <v>2021</v>
      </c>
      <c r="K9" s="560">
        <f>+tab!I4</f>
        <v>2022</v>
      </c>
      <c r="L9" s="560">
        <f>+tab!J4</f>
        <v>2023</v>
      </c>
      <c r="M9" s="560">
        <f>+tab!K4</f>
        <v>2024</v>
      </c>
      <c r="N9" s="22"/>
      <c r="O9" s="25"/>
    </row>
    <row r="10" spans="2:15" x14ac:dyDescent="0.2">
      <c r="B10" s="21"/>
      <c r="C10" s="22"/>
      <c r="D10" s="22"/>
      <c r="E10" s="22"/>
      <c r="F10" s="22"/>
      <c r="G10" s="160"/>
      <c r="H10" s="160"/>
      <c r="I10" s="160"/>
      <c r="J10" s="160"/>
      <c r="K10" s="160"/>
      <c r="L10" s="160"/>
      <c r="M10" s="160"/>
      <c r="N10" s="22"/>
      <c r="O10" s="25"/>
    </row>
    <row r="11" spans="2:15" x14ac:dyDescent="0.2">
      <c r="B11" s="21"/>
      <c r="C11" s="34"/>
      <c r="D11" s="36"/>
      <c r="E11" s="36"/>
      <c r="F11" s="34"/>
      <c r="G11" s="395"/>
      <c r="H11" s="395"/>
      <c r="I11" s="395"/>
      <c r="J11" s="395"/>
      <c r="K11" s="395"/>
      <c r="L11" s="395"/>
      <c r="M11" s="395"/>
      <c r="N11" s="38"/>
      <c r="O11" s="25"/>
    </row>
    <row r="12" spans="2:15" x14ac:dyDescent="0.2">
      <c r="B12" s="21"/>
      <c r="C12" s="34"/>
      <c r="D12" s="195" t="s">
        <v>341</v>
      </c>
      <c r="E12" s="36"/>
      <c r="F12" s="34"/>
      <c r="G12" s="598" t="str">
        <f t="shared" ref="G12:L12" si="0">G8</f>
        <v>2018/19</v>
      </c>
      <c r="H12" s="598" t="str">
        <f t="shared" si="0"/>
        <v>2019/20</v>
      </c>
      <c r="I12" s="598" t="str">
        <f t="shared" si="0"/>
        <v>2020/21</v>
      </c>
      <c r="J12" s="598" t="str">
        <f t="shared" si="0"/>
        <v>2021/22</v>
      </c>
      <c r="K12" s="598" t="str">
        <f t="shared" si="0"/>
        <v>2022/23</v>
      </c>
      <c r="L12" s="598" t="str">
        <f t="shared" si="0"/>
        <v>2023/24</v>
      </c>
      <c r="M12" s="598" t="str">
        <f>M8</f>
        <v>2024/25</v>
      </c>
      <c r="N12" s="1063"/>
      <c r="O12" s="25"/>
    </row>
    <row r="13" spans="2:15" x14ac:dyDescent="0.2">
      <c r="B13" s="21"/>
      <c r="C13" s="34"/>
      <c r="D13" s="195" t="s">
        <v>7</v>
      </c>
      <c r="E13" s="187"/>
      <c r="F13" s="34"/>
      <c r="G13" s="1231">
        <f>5/12*pers!H143+7/12*pers!I143</f>
        <v>185967.78166666668</v>
      </c>
      <c r="H13" s="1231">
        <f>5/12*pers!H143+7/12*pers!I143</f>
        <v>185967.78166666668</v>
      </c>
      <c r="I13" s="1231">
        <f>5/12*pers!I143+7/12*pers!J143</f>
        <v>170856.48916666667</v>
      </c>
      <c r="J13" s="1231">
        <f>5/12*pers!J143+7/12*pers!K143</f>
        <v>152837.31</v>
      </c>
      <c r="K13" s="1231">
        <f>5/12*pers!K143+7/12*pers!L143</f>
        <v>152837.31</v>
      </c>
      <c r="L13" s="1231">
        <f>5/12*pers!L143+7/12*pers!M143</f>
        <v>152837.31</v>
      </c>
      <c r="M13" s="1231">
        <f>5/12*pers!M143+7/12*pers!N143</f>
        <v>152837.31</v>
      </c>
      <c r="N13" s="1063"/>
      <c r="O13" s="25"/>
    </row>
    <row r="14" spans="2:15" x14ac:dyDescent="0.2">
      <c r="B14" s="21"/>
      <c r="C14" s="34"/>
      <c r="D14" s="195" t="s">
        <v>365</v>
      </c>
      <c r="E14" s="36"/>
      <c r="F14" s="34"/>
      <c r="G14" s="615">
        <f>ROUND(G13/'geg ll'!G71,2)</f>
        <v>11.16</v>
      </c>
      <c r="H14" s="615">
        <f>ROUND(H13/'geg ll'!H71,2)</f>
        <v>11.74</v>
      </c>
      <c r="I14" s="615">
        <f>ROUND(I13/'geg ll'!I71,2)</f>
        <v>11</v>
      </c>
      <c r="J14" s="615">
        <f>ROUND(J13/'geg ll'!J71,2)</f>
        <v>9.84</v>
      </c>
      <c r="K14" s="615">
        <f>ROUND(K13/'geg ll'!K71,2)</f>
        <v>9.84</v>
      </c>
      <c r="L14" s="615">
        <f>ROUND(L13/'geg ll'!L71,2)</f>
        <v>9.84</v>
      </c>
      <c r="M14" s="615">
        <f>ROUND(M13/'geg ll'!M71,2)</f>
        <v>9.84</v>
      </c>
      <c r="N14" s="1063"/>
      <c r="O14" s="25"/>
    </row>
    <row r="15" spans="2:15" x14ac:dyDescent="0.2">
      <c r="B15" s="21"/>
      <c r="C15" s="34"/>
      <c r="D15" s="187"/>
      <c r="E15" s="36"/>
      <c r="F15" s="34"/>
      <c r="G15" s="395"/>
      <c r="H15" s="395"/>
      <c r="I15" s="395"/>
      <c r="J15" s="395"/>
      <c r="K15" s="395"/>
      <c r="L15" s="395"/>
      <c r="M15" s="395"/>
      <c r="N15" s="1063"/>
      <c r="O15" s="25"/>
    </row>
    <row r="16" spans="2:15" x14ac:dyDescent="0.2">
      <c r="B16" s="21"/>
      <c r="C16" s="34"/>
      <c r="D16" s="109" t="s">
        <v>243</v>
      </c>
      <c r="E16" s="36"/>
      <c r="F16" s="34"/>
      <c r="G16" s="524">
        <f>+pers!H229+pers!H234-'overdr VSO'!I15</f>
        <v>-6209823.2199999997</v>
      </c>
      <c r="H16" s="524">
        <f>+pers!I229+pers!I234-'overdr VSO'!J15</f>
        <v>4003590.3550000004</v>
      </c>
      <c r="I16" s="524">
        <f>+pers!J229-'overdr VSO'!K15</f>
        <v>2936889.1899999995</v>
      </c>
      <c r="J16" s="524">
        <f>+pers!K229-'overdr VSO'!L15</f>
        <v>3498338.9600000009</v>
      </c>
      <c r="K16" s="524">
        <f>+pers!L229-'overdr VSO'!M15</f>
        <v>3498338.9600000009</v>
      </c>
      <c r="L16" s="524">
        <f>+pers!M229-'overdr VSO'!N15</f>
        <v>3498338.9600000009</v>
      </c>
      <c r="M16" s="524">
        <f>+pers!N229-'overdr VSO'!O15</f>
        <v>3498338.9600000009</v>
      </c>
      <c r="N16" s="1063"/>
      <c r="O16" s="25"/>
    </row>
    <row r="17" spans="2:15" x14ac:dyDescent="0.2">
      <c r="B17" s="21"/>
      <c r="C17" s="34"/>
      <c r="D17" s="109" t="s">
        <v>244</v>
      </c>
      <c r="E17" s="36"/>
      <c r="F17" s="34"/>
      <c r="G17" s="524">
        <f t="shared" ref="G17:L17" si="1">+G13</f>
        <v>185967.78166666668</v>
      </c>
      <c r="H17" s="524">
        <f t="shared" si="1"/>
        <v>185967.78166666668</v>
      </c>
      <c r="I17" s="524">
        <f t="shared" si="1"/>
        <v>170856.48916666667</v>
      </c>
      <c r="J17" s="524">
        <f t="shared" si="1"/>
        <v>152837.31</v>
      </c>
      <c r="K17" s="524">
        <f t="shared" si="1"/>
        <v>152837.31</v>
      </c>
      <c r="L17" s="524">
        <f t="shared" si="1"/>
        <v>152837.31</v>
      </c>
      <c r="M17" s="524">
        <f>+M13</f>
        <v>152837.31</v>
      </c>
      <c r="N17" s="1063"/>
      <c r="O17" s="25"/>
    </row>
    <row r="18" spans="2:15" x14ac:dyDescent="0.2">
      <c r="B18" s="21"/>
      <c r="C18" s="34"/>
      <c r="D18" s="113" t="s">
        <v>491</v>
      </c>
      <c r="E18" s="36"/>
      <c r="F18" s="34"/>
      <c r="G18" s="530">
        <f t="shared" ref="G18:L18" si="2">IF(G16&gt;G17,0,IF(G16&lt;0,G17,G17-G16))</f>
        <v>185967.78166666668</v>
      </c>
      <c r="H18" s="530">
        <f t="shared" si="2"/>
        <v>0</v>
      </c>
      <c r="I18" s="530">
        <f t="shared" si="2"/>
        <v>0</v>
      </c>
      <c r="J18" s="530">
        <f t="shared" si="2"/>
        <v>0</v>
      </c>
      <c r="K18" s="530">
        <f t="shared" si="2"/>
        <v>0</v>
      </c>
      <c r="L18" s="530">
        <f t="shared" si="2"/>
        <v>0</v>
      </c>
      <c r="M18" s="530">
        <f>IF(M16&gt;M17,0,IF(M16&lt;0,M17,M17-M16))</f>
        <v>0</v>
      </c>
      <c r="N18" s="1063"/>
      <c r="O18" s="25"/>
    </row>
    <row r="19" spans="2:15" x14ac:dyDescent="0.2">
      <c r="B19" s="21"/>
      <c r="C19" s="1062" t="s">
        <v>646</v>
      </c>
      <c r="D19" s="195" t="s">
        <v>464</v>
      </c>
      <c r="E19" s="36"/>
      <c r="F19" s="34"/>
      <c r="G19" s="615">
        <f>ROUND(G18/'geg ll'!G71,2)</f>
        <v>11.16</v>
      </c>
      <c r="H19" s="615">
        <f>ROUND(H18/'geg ll'!H71,2)</f>
        <v>0</v>
      </c>
      <c r="I19" s="615">
        <f>ROUND(I18/'geg ll'!I71,2)</f>
        <v>0</v>
      </c>
      <c r="J19" s="615">
        <f>ROUND(J18/'geg ll'!J71,2)</f>
        <v>0</v>
      </c>
      <c r="K19" s="615">
        <f>ROUND(K18/'geg ll'!K71,2)</f>
        <v>0</v>
      </c>
      <c r="L19" s="615">
        <f>ROUND(L18/'geg ll'!L71,2)</f>
        <v>0</v>
      </c>
      <c r="M19" s="615">
        <f>ROUND(M18/'geg ll'!M71,2)</f>
        <v>0</v>
      </c>
      <c r="N19" s="1063"/>
      <c r="O19" s="25"/>
    </row>
    <row r="20" spans="2:15" x14ac:dyDescent="0.2">
      <c r="B20" s="840"/>
      <c r="C20" s="34"/>
      <c r="D20" s="581"/>
      <c r="E20" s="50"/>
      <c r="F20" s="39"/>
      <c r="G20" s="1060"/>
      <c r="H20" s="1060"/>
      <c r="I20" s="1060"/>
      <c r="J20" s="1060"/>
      <c r="K20" s="1060"/>
      <c r="L20" s="1060"/>
      <c r="M20" s="1060"/>
      <c r="N20" s="1063"/>
      <c r="O20" s="25"/>
    </row>
    <row r="21" spans="2:15" x14ac:dyDescent="0.2">
      <c r="B21" s="840"/>
      <c r="C21" s="1062"/>
      <c r="D21" s="581" t="s">
        <v>697</v>
      </c>
      <c r="E21" s="50"/>
      <c r="F21" s="39"/>
      <c r="G21" s="1226">
        <f>+'overdr VSO'!I15+'peild VSO'!G17</f>
        <v>6395791.001666666</v>
      </c>
      <c r="H21" s="1226">
        <f>+'overdr VSO'!J15+'peild VSO'!H17</f>
        <v>6162351.3016666658</v>
      </c>
      <c r="I21" s="1226">
        <f>+'overdr VSO'!K15+'peild VSO'!I17</f>
        <v>6576125.9991666665</v>
      </c>
      <c r="J21" s="1226">
        <f>+'overdr VSO'!L15+'peild VSO'!J17</f>
        <v>6411942.9099999992</v>
      </c>
      <c r="K21" s="1226">
        <f>+'overdr VSO'!M15+'peild VSO'!K17</f>
        <v>6411942.9099999992</v>
      </c>
      <c r="L21" s="1226">
        <f>+'overdr VSO'!N15+'peild VSO'!L17</f>
        <v>6411942.9099999992</v>
      </c>
      <c r="M21" s="1226">
        <f>+'overdr VSO'!O15+'peild VSO'!M17</f>
        <v>6411942.9099999992</v>
      </c>
      <c r="N21" s="1063"/>
      <c r="O21" s="25"/>
    </row>
    <row r="22" spans="2:15" x14ac:dyDescent="0.2">
      <c r="B22" s="840"/>
      <c r="C22" s="34"/>
      <c r="D22" s="581" t="s">
        <v>645</v>
      </c>
      <c r="E22" s="50"/>
      <c r="F22" s="39"/>
      <c r="G22" s="1061">
        <f>+G21/'geg ll'!G71</f>
        <v>383.92406516997818</v>
      </c>
      <c r="H22" s="1061">
        <f>+H21/'geg ll'!H71</f>
        <v>389.03732965067337</v>
      </c>
      <c r="I22" s="1061">
        <f>+I21/'geg ll'!I71</f>
        <v>423.25584084229041</v>
      </c>
      <c r="J22" s="1061">
        <f>+J21/'geg ll'!J71</f>
        <v>412.68860848297606</v>
      </c>
      <c r="K22" s="1061">
        <f>+K21/'geg ll'!K71</f>
        <v>412.68860848297606</v>
      </c>
      <c r="L22" s="1061">
        <f>+L21/'geg ll'!L71</f>
        <v>412.68860848297606</v>
      </c>
      <c r="M22" s="1061">
        <f>+M21/'geg ll'!M71</f>
        <v>412.68860848297606</v>
      </c>
      <c r="N22" s="1063"/>
      <c r="O22" s="25"/>
    </row>
    <row r="23" spans="2:15" x14ac:dyDescent="0.2">
      <c r="B23" s="21"/>
      <c r="C23" s="34"/>
      <c r="D23" s="513"/>
      <c r="E23" s="513"/>
      <c r="F23" s="514"/>
      <c r="G23" s="582"/>
      <c r="H23" s="582"/>
      <c r="I23" s="582"/>
      <c r="J23" s="582"/>
      <c r="K23" s="582"/>
      <c r="L23" s="582"/>
      <c r="M23" s="582"/>
      <c r="N23" s="1063"/>
      <c r="O23" s="25"/>
    </row>
    <row r="24" spans="2:15" x14ac:dyDescent="0.2">
      <c r="B24" s="21"/>
      <c r="C24" s="34"/>
      <c r="D24" s="41"/>
      <c r="E24" s="41"/>
      <c r="F24" s="32"/>
      <c r="G24" s="547"/>
      <c r="H24" s="547"/>
      <c r="I24" s="547"/>
      <c r="J24" s="547"/>
      <c r="K24" s="547"/>
      <c r="L24" s="547"/>
      <c r="M24" s="547"/>
      <c r="N24" s="1063"/>
      <c r="O24" s="25"/>
    </row>
    <row r="25" spans="2:15" x14ac:dyDescent="0.2">
      <c r="B25" s="21"/>
      <c r="C25" s="34"/>
      <c r="D25" s="41" t="s">
        <v>341</v>
      </c>
      <c r="E25" s="36"/>
      <c r="F25" s="34"/>
      <c r="G25" s="599">
        <f t="shared" ref="G25:L25" si="3">G9</f>
        <v>2018</v>
      </c>
      <c r="H25" s="599">
        <f t="shared" si="3"/>
        <v>2019</v>
      </c>
      <c r="I25" s="599">
        <f t="shared" si="3"/>
        <v>2020</v>
      </c>
      <c r="J25" s="599">
        <f t="shared" si="3"/>
        <v>2021</v>
      </c>
      <c r="K25" s="599">
        <f t="shared" si="3"/>
        <v>2022</v>
      </c>
      <c r="L25" s="599">
        <f t="shared" si="3"/>
        <v>2023</v>
      </c>
      <c r="M25" s="599">
        <f>M9</f>
        <v>2024</v>
      </c>
      <c r="N25" s="1063"/>
      <c r="O25" s="25"/>
    </row>
    <row r="26" spans="2:15" x14ac:dyDescent="0.2">
      <c r="B26" s="21"/>
      <c r="C26" s="34"/>
      <c r="D26" s="36" t="s">
        <v>8</v>
      </c>
      <c r="E26" s="187"/>
      <c r="F26" s="34"/>
      <c r="G26" s="530">
        <f>mat!J156</f>
        <v>0</v>
      </c>
      <c r="H26" s="1576"/>
      <c r="I26" s="530">
        <f>mat!K156</f>
        <v>15724.46</v>
      </c>
      <c r="J26" s="530">
        <f>mat!L156</f>
        <v>15913.18</v>
      </c>
      <c r="K26" s="530">
        <f>mat!M156</f>
        <v>15913.18</v>
      </c>
      <c r="L26" s="530">
        <f>mat!N156</f>
        <v>15913.18</v>
      </c>
      <c r="M26" s="530">
        <f>mat!O156</f>
        <v>15913.18</v>
      </c>
      <c r="N26" s="1063"/>
      <c r="O26" s="25"/>
    </row>
    <row r="27" spans="2:15" x14ac:dyDescent="0.2">
      <c r="B27" s="21"/>
      <c r="C27" s="34"/>
      <c r="D27" s="195" t="s">
        <v>365</v>
      </c>
      <c r="E27" s="36"/>
      <c r="F27" s="34"/>
      <c r="G27" s="615">
        <f>ROUND(G26/'geg ll'!G71,2)</f>
        <v>0</v>
      </c>
      <c r="H27" s="1059"/>
      <c r="I27" s="615">
        <f>ROUND(I26/'geg ll'!I71,2)</f>
        <v>1.01</v>
      </c>
      <c r="J27" s="615">
        <f>ROUND(J26/'geg ll'!J71,2)</f>
        <v>1.02</v>
      </c>
      <c r="K27" s="615">
        <f>ROUND(K26/'geg ll'!K71,2)</f>
        <v>1.02</v>
      </c>
      <c r="L27" s="615">
        <f>ROUND(L26/'geg ll'!L71,2)</f>
        <v>1.02</v>
      </c>
      <c r="M27" s="615">
        <f>ROUND(M26/'geg ll'!M71,2)</f>
        <v>1.02</v>
      </c>
      <c r="N27" s="1063"/>
      <c r="O27" s="25"/>
    </row>
    <row r="28" spans="2:15" x14ac:dyDescent="0.2">
      <c r="B28" s="21"/>
      <c r="C28" s="34"/>
      <c r="D28" s="36"/>
      <c r="E28" s="36"/>
      <c r="F28" s="34"/>
      <c r="G28" s="395"/>
      <c r="H28" s="1576"/>
      <c r="I28" s="395"/>
      <c r="J28" s="395"/>
      <c r="K28" s="395"/>
      <c r="L28" s="395"/>
      <c r="M28" s="395"/>
      <c r="N28" s="1063"/>
      <c r="O28" s="25"/>
    </row>
    <row r="29" spans="2:15" x14ac:dyDescent="0.2">
      <c r="B29" s="21"/>
      <c r="C29" s="34"/>
      <c r="D29" s="109" t="s">
        <v>245</v>
      </c>
      <c r="E29" s="36"/>
      <c r="F29" s="34"/>
      <c r="G29" s="524">
        <f>+'overdr VSO'!I22-'overdr VSO'!I21</f>
        <v>-352959.82000000007</v>
      </c>
      <c r="H29" s="957"/>
      <c r="I29" s="524">
        <f>+'overdr VSO'!K22-'overdr VSO'!K21</f>
        <v>96950.44</v>
      </c>
      <c r="J29" s="524">
        <f>+'overdr VSO'!L22-'overdr VSO'!L21</f>
        <v>87822.339999999967</v>
      </c>
      <c r="K29" s="524">
        <f>+'overdr VSO'!M22-'overdr VSO'!M21</f>
        <v>87822.339999999967</v>
      </c>
      <c r="L29" s="524">
        <f>+'overdr VSO'!N22-'overdr VSO'!N21</f>
        <v>87822.339999999967</v>
      </c>
      <c r="M29" s="524">
        <f>+'overdr VSO'!O22-'overdr VSO'!O21</f>
        <v>87822.339999999967</v>
      </c>
      <c r="N29" s="1063"/>
      <c r="O29" s="25"/>
    </row>
    <row r="30" spans="2:15" x14ac:dyDescent="0.2">
      <c r="B30" s="21"/>
      <c r="C30" s="34"/>
      <c r="D30" s="109" t="s">
        <v>246</v>
      </c>
      <c r="E30" s="36"/>
      <c r="F30" s="34"/>
      <c r="G30" s="524">
        <f t="shared" ref="G30:L30" si="4">+G26</f>
        <v>0</v>
      </c>
      <c r="H30" s="957"/>
      <c r="I30" s="524">
        <f t="shared" si="4"/>
        <v>15724.46</v>
      </c>
      <c r="J30" s="524">
        <f t="shared" si="4"/>
        <v>15913.18</v>
      </c>
      <c r="K30" s="524">
        <f t="shared" si="4"/>
        <v>15913.18</v>
      </c>
      <c r="L30" s="524">
        <f t="shared" si="4"/>
        <v>15913.18</v>
      </c>
      <c r="M30" s="524">
        <f>+M26</f>
        <v>15913.18</v>
      </c>
      <c r="N30" s="1063"/>
      <c r="O30" s="25"/>
    </row>
    <row r="31" spans="2:15" x14ac:dyDescent="0.2">
      <c r="B31" s="21"/>
      <c r="C31" s="34"/>
      <c r="D31" s="113" t="s">
        <v>492</v>
      </c>
      <c r="E31" s="36"/>
      <c r="F31" s="34"/>
      <c r="G31" s="530">
        <f t="shared" ref="G31:L31" si="5">IF(G29&gt;G30,0,IF(G29&lt;0,G30,G30-G29))</f>
        <v>0</v>
      </c>
      <c r="H31" s="1576"/>
      <c r="I31" s="530">
        <f t="shared" si="5"/>
        <v>0</v>
      </c>
      <c r="J31" s="530">
        <f t="shared" si="5"/>
        <v>0</v>
      </c>
      <c r="K31" s="530">
        <f t="shared" si="5"/>
        <v>0</v>
      </c>
      <c r="L31" s="530">
        <f t="shared" si="5"/>
        <v>0</v>
      </c>
      <c r="M31" s="530">
        <f>IF(M29&gt;M30,0,IF(M29&lt;0,M30,M30-M29))</f>
        <v>0</v>
      </c>
      <c r="N31" s="1063"/>
      <c r="O31" s="25"/>
    </row>
    <row r="32" spans="2:15" x14ac:dyDescent="0.2">
      <c r="B32" s="21"/>
      <c r="C32" s="1062" t="s">
        <v>646</v>
      </c>
      <c r="D32" s="195" t="s">
        <v>464</v>
      </c>
      <c r="E32" s="36"/>
      <c r="F32" s="34"/>
      <c r="G32" s="615">
        <f>ROUND(G31/'geg ll'!G71,2)</f>
        <v>0</v>
      </c>
      <c r="H32" s="1059"/>
      <c r="I32" s="615">
        <f>ROUND(I31/'geg ll'!I71,2)</f>
        <v>0</v>
      </c>
      <c r="J32" s="615">
        <f>ROUND(J31/'geg ll'!J71,2)</f>
        <v>0</v>
      </c>
      <c r="K32" s="615">
        <f>ROUND(K31/'geg ll'!K71,2)</f>
        <v>0</v>
      </c>
      <c r="L32" s="615">
        <f>ROUND(L31/'geg ll'!L71,2)</f>
        <v>0</v>
      </c>
      <c r="M32" s="615">
        <f>ROUND(M31/'geg ll'!M71,2)</f>
        <v>0</v>
      </c>
      <c r="N32" s="1063"/>
      <c r="O32" s="25"/>
    </row>
    <row r="33" spans="2:15" x14ac:dyDescent="0.2">
      <c r="B33" s="840"/>
      <c r="C33" s="1062"/>
      <c r="D33" s="195"/>
      <c r="E33" s="36"/>
      <c r="F33" s="34"/>
      <c r="G33" s="1059"/>
      <c r="H33" s="1059"/>
      <c r="I33" s="1059"/>
      <c r="J33" s="1059"/>
      <c r="K33" s="1059"/>
      <c r="L33" s="1059"/>
      <c r="M33" s="1059"/>
      <c r="N33" s="1063"/>
      <c r="O33" s="25"/>
    </row>
    <row r="34" spans="2:15" x14ac:dyDescent="0.2">
      <c r="B34" s="840"/>
      <c r="C34" s="1062"/>
      <c r="D34" s="581" t="s">
        <v>697</v>
      </c>
      <c r="E34" s="36"/>
      <c r="F34" s="34"/>
      <c r="G34" s="1227">
        <f>+'overdr VSO'!I21+'peild VSO'!G26</f>
        <v>352959.82000000007</v>
      </c>
      <c r="H34" s="1577"/>
      <c r="I34" s="1227">
        <f>+'overdr VSO'!K21+'peild VSO'!I26</f>
        <v>379287.22000000003</v>
      </c>
      <c r="J34" s="1227">
        <f>+'overdr VSO'!L21+'peild VSO'!J26</f>
        <v>372994.84</v>
      </c>
      <c r="K34" s="1227">
        <f>+'overdr VSO'!M21+'peild VSO'!K26</f>
        <v>372994.84</v>
      </c>
      <c r="L34" s="1227">
        <f>+'overdr VSO'!N21+'peild VSO'!L26</f>
        <v>372994.84</v>
      </c>
      <c r="M34" s="1227">
        <f>+'overdr VSO'!O21+'peild VSO'!M26</f>
        <v>372994.84</v>
      </c>
      <c r="N34" s="1063"/>
      <c r="O34" s="25"/>
    </row>
    <row r="35" spans="2:15" x14ac:dyDescent="0.2">
      <c r="B35" s="840"/>
      <c r="C35" s="1062"/>
      <c r="D35" s="581" t="s">
        <v>645</v>
      </c>
      <c r="E35" s="36"/>
      <c r="F35" s="34"/>
      <c r="G35" s="1061">
        <f>+G34/'geg ll'!G$71</f>
        <v>21.18733537427217</v>
      </c>
      <c r="H35" s="1060"/>
      <c r="I35" s="1061">
        <f>+I34/'geg ll'!I$71</f>
        <v>24.411869730321172</v>
      </c>
      <c r="J35" s="1061">
        <f>+J34/'geg ll'!J$71</f>
        <v>24.006876488382574</v>
      </c>
      <c r="K35" s="1061">
        <f>+K34/'geg ll'!K$71</f>
        <v>24.006876488382574</v>
      </c>
      <c r="L35" s="1061">
        <f>+L34/'geg ll'!L$71</f>
        <v>24.006876488382574</v>
      </c>
      <c r="M35" s="1061">
        <f>+M34/'geg ll'!M$71</f>
        <v>24.006876488382574</v>
      </c>
      <c r="N35" s="1063"/>
      <c r="O35" s="25"/>
    </row>
    <row r="36" spans="2:15" x14ac:dyDescent="0.2">
      <c r="B36" s="21"/>
      <c r="C36" s="34"/>
      <c r="D36" s="36"/>
      <c r="E36" s="36"/>
      <c r="F36" s="34"/>
      <c r="G36" s="395"/>
      <c r="H36" s="395"/>
      <c r="I36" s="395"/>
      <c r="J36" s="395"/>
      <c r="K36" s="395"/>
      <c r="L36" s="395"/>
      <c r="M36" s="395"/>
      <c r="N36" s="1064"/>
      <c r="O36" s="25"/>
    </row>
    <row r="37" spans="2:15" s="190" customFormat="1" ht="15.75" thickBot="1" x14ac:dyDescent="0.3">
      <c r="B37" s="846"/>
      <c r="C37" s="851"/>
      <c r="D37" s="1020"/>
      <c r="E37" s="1020"/>
      <c r="F37" s="851"/>
      <c r="G37" s="1021"/>
      <c r="H37" s="1021"/>
      <c r="I37" s="1021"/>
      <c r="J37" s="1021"/>
      <c r="K37" s="1021"/>
      <c r="L37" s="1021"/>
      <c r="M37" s="1021"/>
      <c r="N37" s="848"/>
      <c r="O37" s="847"/>
    </row>
    <row r="38" spans="2:15" s="190" customFormat="1" ht="15.75" thickTop="1" x14ac:dyDescent="0.25">
      <c r="B38" s="846"/>
      <c r="C38" s="1022"/>
      <c r="D38" s="1024"/>
      <c r="E38" s="1024"/>
      <c r="F38" s="1023"/>
      <c r="G38" s="1025"/>
      <c r="H38" s="1025"/>
      <c r="I38" s="1025"/>
      <c r="J38" s="1025"/>
      <c r="K38" s="1025"/>
      <c r="L38" s="1025"/>
      <c r="M38" s="1025"/>
      <c r="N38" s="1026"/>
      <c r="O38" s="847"/>
    </row>
    <row r="39" spans="2:15" s="190" customFormat="1" ht="15" x14ac:dyDescent="0.25">
      <c r="B39" s="846"/>
      <c r="C39" s="1027"/>
      <c r="D39" s="848" t="s">
        <v>860</v>
      </c>
      <c r="E39" s="849"/>
      <c r="F39" s="848"/>
      <c r="G39" s="850"/>
      <c r="H39" s="850"/>
      <c r="I39" s="850"/>
      <c r="J39" s="850"/>
      <c r="K39" s="850"/>
      <c r="L39" s="850"/>
      <c r="M39" s="850"/>
      <c r="N39" s="1028"/>
      <c r="O39" s="847"/>
    </row>
    <row r="40" spans="2:15" s="190" customFormat="1" ht="15" x14ac:dyDescent="0.25">
      <c r="B40" s="846"/>
      <c r="C40" s="1027"/>
      <c r="D40" s="848" t="s">
        <v>859</v>
      </c>
      <c r="E40" s="849"/>
      <c r="F40" s="848"/>
      <c r="G40" s="850"/>
      <c r="H40" s="850"/>
      <c r="I40" s="850"/>
      <c r="J40" s="850"/>
      <c r="K40" s="850"/>
      <c r="L40" s="850"/>
      <c r="M40" s="850"/>
      <c r="N40" s="1028"/>
      <c r="O40" s="847"/>
    </row>
    <row r="41" spans="2:15" s="190" customFormat="1" ht="15" x14ac:dyDescent="0.25">
      <c r="B41" s="846"/>
      <c r="C41" s="1027"/>
      <c r="D41" s="848" t="s">
        <v>799</v>
      </c>
      <c r="E41" s="849"/>
      <c r="F41" s="848"/>
      <c r="G41" s="850"/>
      <c r="H41" s="850"/>
      <c r="I41" s="850"/>
      <c r="J41" s="850"/>
      <c r="K41" s="850"/>
      <c r="L41" s="850"/>
      <c r="M41" s="850"/>
      <c r="N41" s="1028"/>
      <c r="O41" s="847"/>
    </row>
    <row r="42" spans="2:15" s="190" customFormat="1" ht="15" x14ac:dyDescent="0.25">
      <c r="B42" s="846"/>
      <c r="C42" s="1027"/>
      <c r="D42" s="848" t="s">
        <v>515</v>
      </c>
      <c r="E42" s="849"/>
      <c r="F42" s="848"/>
      <c r="G42" s="850"/>
      <c r="H42" s="850"/>
      <c r="I42" s="850"/>
      <c r="J42" s="850"/>
      <c r="K42" s="850"/>
      <c r="L42" s="850"/>
      <c r="M42" s="850"/>
      <c r="N42" s="1028"/>
      <c r="O42" s="847"/>
    </row>
    <row r="43" spans="2:15" s="190" customFormat="1" ht="15" x14ac:dyDescent="0.25">
      <c r="B43" s="846"/>
      <c r="C43" s="1027"/>
      <c r="D43" s="848" t="s">
        <v>699</v>
      </c>
      <c r="E43" s="849"/>
      <c r="F43" s="848"/>
      <c r="G43" s="850"/>
      <c r="H43" s="850"/>
      <c r="I43" s="850"/>
      <c r="J43" s="850"/>
      <c r="K43" s="850"/>
      <c r="L43" s="850"/>
      <c r="M43" s="850"/>
      <c r="N43" s="1028"/>
      <c r="O43" s="847"/>
    </row>
    <row r="44" spans="2:15" s="190" customFormat="1" ht="15" x14ac:dyDescent="0.25">
      <c r="B44" s="846"/>
      <c r="C44" s="1027"/>
      <c r="D44" s="848"/>
      <c r="E44" s="849"/>
      <c r="F44" s="848"/>
      <c r="G44" s="850"/>
      <c r="H44" s="850"/>
      <c r="I44" s="850"/>
      <c r="J44" s="850"/>
      <c r="K44" s="850"/>
      <c r="L44" s="850"/>
      <c r="M44" s="850"/>
      <c r="N44" s="1028"/>
      <c r="O44" s="847"/>
    </row>
    <row r="45" spans="2:15" s="190" customFormat="1" ht="15" x14ac:dyDescent="0.25">
      <c r="B45" s="846"/>
      <c r="C45" s="1027"/>
      <c r="D45" s="848" t="s">
        <v>800</v>
      </c>
      <c r="E45" s="849"/>
      <c r="F45" s="848"/>
      <c r="G45" s="850"/>
      <c r="H45" s="850"/>
      <c r="I45" s="850"/>
      <c r="J45" s="850"/>
      <c r="K45" s="850"/>
      <c r="L45" s="850"/>
      <c r="M45" s="850"/>
      <c r="N45" s="1028"/>
      <c r="O45" s="847"/>
    </row>
    <row r="46" spans="2:15" s="190" customFormat="1" ht="15" x14ac:dyDescent="0.25">
      <c r="B46" s="846"/>
      <c r="C46" s="1027"/>
      <c r="D46" s="848" t="s">
        <v>801</v>
      </c>
      <c r="E46" s="849"/>
      <c r="F46" s="848"/>
      <c r="G46" s="850"/>
      <c r="H46" s="850"/>
      <c r="I46" s="850"/>
      <c r="J46" s="850"/>
      <c r="K46" s="850"/>
      <c r="L46" s="850"/>
      <c r="M46" s="850"/>
      <c r="N46" s="1028"/>
      <c r="O46" s="847"/>
    </row>
    <row r="47" spans="2:15" s="190" customFormat="1" ht="15.75" thickBot="1" x14ac:dyDescent="0.3">
      <c r="B47" s="846"/>
      <c r="C47" s="1029"/>
      <c r="D47" s="1030"/>
      <c r="E47" s="1031"/>
      <c r="F47" s="1030"/>
      <c r="G47" s="1032"/>
      <c r="H47" s="1032"/>
      <c r="I47" s="1032"/>
      <c r="J47" s="1032"/>
      <c r="K47" s="1032"/>
      <c r="L47" s="1032"/>
      <c r="M47" s="1032"/>
      <c r="N47" s="1033"/>
      <c r="O47" s="847"/>
    </row>
    <row r="48" spans="2:15" ht="13.5" thickTop="1" x14ac:dyDescent="0.2">
      <c r="B48" s="21"/>
      <c r="C48" s="22"/>
      <c r="D48" s="23"/>
      <c r="E48" s="23"/>
      <c r="F48" s="22"/>
      <c r="G48" s="160"/>
      <c r="H48" s="160"/>
      <c r="I48" s="160"/>
      <c r="J48" s="160"/>
      <c r="K48" s="160"/>
      <c r="L48" s="160"/>
      <c r="M48" s="160"/>
      <c r="N48" s="22"/>
      <c r="O48" s="25"/>
    </row>
    <row r="49" spans="2:29" x14ac:dyDescent="0.2">
      <c r="B49" s="180"/>
      <c r="C49" s="162"/>
      <c r="D49" s="548"/>
      <c r="E49" s="548"/>
      <c r="F49" s="162"/>
      <c r="G49" s="163"/>
      <c r="H49" s="163"/>
      <c r="I49" s="163"/>
      <c r="J49" s="163"/>
      <c r="K49" s="163"/>
      <c r="L49" s="163"/>
      <c r="M49" s="163"/>
      <c r="N49" s="162"/>
      <c r="O49" s="181"/>
    </row>
    <row r="50" spans="2:29" x14ac:dyDescent="0.2">
      <c r="B50" s="6"/>
      <c r="C50" s="6"/>
      <c r="D50" s="6"/>
      <c r="E50" s="6"/>
      <c r="F50" s="6"/>
      <c r="G50" s="6"/>
      <c r="H50" s="385"/>
      <c r="I50" s="385"/>
      <c r="J50" s="385"/>
      <c r="K50" s="385"/>
      <c r="L50" s="385"/>
      <c r="M50" s="385"/>
      <c r="N50" s="6"/>
      <c r="O50" s="6"/>
      <c r="P50" s="6"/>
      <c r="Q50" s="6"/>
    </row>
    <row r="51" spans="2:29" x14ac:dyDescent="0.2">
      <c r="B51" s="6"/>
      <c r="C51" s="6"/>
      <c r="D51" s="6"/>
      <c r="E51" s="6"/>
      <c r="F51" s="6"/>
      <c r="G51" s="6"/>
      <c r="H51" s="385"/>
      <c r="I51" s="385"/>
      <c r="J51" s="385"/>
      <c r="K51" s="385"/>
      <c r="L51" s="385"/>
      <c r="M51" s="385"/>
      <c r="N51" s="6"/>
      <c r="O51" s="6"/>
      <c r="P51" s="6"/>
      <c r="Q51" s="6"/>
    </row>
    <row r="52" spans="2:29" x14ac:dyDescent="0.2">
      <c r="B52" s="6"/>
      <c r="C52" s="6"/>
      <c r="D52" s="6"/>
      <c r="E52" s="6"/>
      <c r="F52" s="6"/>
      <c r="G52" s="6"/>
      <c r="H52" s="385"/>
      <c r="I52" s="385"/>
      <c r="J52" s="385"/>
      <c r="K52" s="385"/>
      <c r="L52" s="385"/>
      <c r="M52" s="385"/>
      <c r="N52" s="6"/>
      <c r="O52" s="6"/>
      <c r="P52" s="6"/>
      <c r="Q52" s="6"/>
    </row>
    <row r="53" spans="2:29" x14ac:dyDescent="0.2">
      <c r="B53" s="6"/>
      <c r="C53" s="6"/>
      <c r="D53" s="6"/>
      <c r="E53" s="6"/>
      <c r="F53" s="6"/>
      <c r="G53" s="6"/>
      <c r="H53" s="385"/>
      <c r="I53" s="385"/>
      <c r="J53" s="385"/>
      <c r="K53" s="385"/>
      <c r="L53" s="385"/>
      <c r="M53" s="385"/>
      <c r="N53" s="6"/>
      <c r="O53" s="6"/>
      <c r="P53" s="6"/>
      <c r="Q53" s="6"/>
      <c r="R53" s="6"/>
      <c r="S53" s="6"/>
      <c r="T53" s="6"/>
      <c r="U53" s="6"/>
      <c r="V53" s="6"/>
      <c r="W53" s="385"/>
      <c r="X53" s="385"/>
      <c r="Y53" s="385"/>
      <c r="Z53" s="385"/>
      <c r="AA53" s="385"/>
      <c r="AB53" s="6"/>
      <c r="AC53" s="6"/>
    </row>
    <row r="54" spans="2:29" x14ac:dyDescent="0.2">
      <c r="B54" s="6"/>
      <c r="C54" s="6"/>
      <c r="D54" s="6"/>
      <c r="E54" s="6"/>
      <c r="F54" s="6"/>
      <c r="G54" s="6"/>
      <c r="H54" s="385"/>
      <c r="I54" s="385"/>
      <c r="J54" s="385"/>
      <c r="K54" s="385"/>
      <c r="L54" s="385"/>
      <c r="M54" s="385"/>
      <c r="N54" s="6"/>
      <c r="O54" s="6"/>
      <c r="P54" s="6"/>
      <c r="Q54" s="6"/>
    </row>
    <row r="55" spans="2:29" x14ac:dyDescent="0.2">
      <c r="B55" s="6"/>
      <c r="C55" s="6"/>
      <c r="D55" s="6"/>
      <c r="E55" s="6"/>
      <c r="F55" s="6"/>
      <c r="G55" s="6"/>
      <c r="H55" s="385"/>
      <c r="I55" s="385"/>
      <c r="J55" s="385"/>
      <c r="K55" s="385"/>
      <c r="L55" s="385"/>
      <c r="M55" s="385"/>
      <c r="N55" s="6"/>
      <c r="O55" s="6"/>
      <c r="P55" s="6"/>
      <c r="Q55" s="6"/>
    </row>
    <row r="56" spans="2:29" x14ac:dyDescent="0.2">
      <c r="B56" s="6"/>
      <c r="C56" s="6"/>
      <c r="D56" s="6"/>
      <c r="E56" s="6"/>
      <c r="F56" s="6"/>
      <c r="G56" s="6"/>
      <c r="H56" s="385"/>
      <c r="I56" s="385"/>
      <c r="J56" s="385"/>
      <c r="K56" s="385"/>
      <c r="L56" s="385"/>
      <c r="M56" s="385"/>
      <c r="N56" s="6"/>
      <c r="O56" s="6"/>
      <c r="P56" s="6"/>
      <c r="Q56" s="6"/>
    </row>
    <row r="57" spans="2:29" x14ac:dyDescent="0.2">
      <c r="B57" s="6"/>
      <c r="C57" s="6"/>
      <c r="D57" s="6"/>
      <c r="E57" s="6"/>
      <c r="F57" s="6"/>
      <c r="G57" s="6"/>
      <c r="H57" s="385"/>
      <c r="I57" s="385"/>
      <c r="J57" s="385"/>
      <c r="K57" s="385"/>
      <c r="L57" s="385"/>
      <c r="M57" s="385"/>
      <c r="N57" s="6"/>
      <c r="O57" s="6"/>
      <c r="P57" s="6"/>
      <c r="Q57" s="6"/>
    </row>
    <row r="58" spans="2:29" x14ac:dyDescent="0.2">
      <c r="B58" s="6"/>
      <c r="C58" s="6"/>
      <c r="D58" s="6"/>
      <c r="E58" s="6"/>
      <c r="F58" s="6"/>
      <c r="G58" s="6"/>
      <c r="H58" s="385"/>
      <c r="I58" s="385"/>
      <c r="J58" s="385"/>
      <c r="K58" s="385"/>
      <c r="L58" s="385"/>
      <c r="M58" s="385"/>
      <c r="N58" s="6"/>
      <c r="O58" s="6"/>
      <c r="P58" s="6"/>
      <c r="Q58" s="6"/>
    </row>
    <row r="59" spans="2:29" x14ac:dyDescent="0.2">
      <c r="B59" s="6"/>
      <c r="C59" s="6"/>
      <c r="D59" s="6"/>
      <c r="E59" s="6"/>
      <c r="F59" s="6"/>
      <c r="G59" s="6"/>
      <c r="H59" s="385"/>
      <c r="I59" s="385"/>
      <c r="J59" s="385"/>
      <c r="K59" s="385"/>
      <c r="L59" s="385"/>
      <c r="M59" s="385"/>
      <c r="N59" s="6"/>
      <c r="O59" s="6"/>
      <c r="P59" s="6"/>
      <c r="Q59" s="6"/>
    </row>
    <row r="60" spans="2:29" x14ac:dyDescent="0.2">
      <c r="B60" s="6"/>
      <c r="C60" s="6"/>
      <c r="D60" s="6"/>
      <c r="E60" s="6"/>
      <c r="F60" s="6"/>
      <c r="G60" s="6"/>
      <c r="H60" s="385"/>
      <c r="I60" s="385"/>
      <c r="J60" s="385"/>
      <c r="K60" s="385"/>
      <c r="L60" s="385"/>
      <c r="M60" s="385"/>
      <c r="N60" s="6"/>
      <c r="O60" s="6"/>
      <c r="P60" s="6"/>
      <c r="Q60" s="6"/>
    </row>
    <row r="61" spans="2:29" x14ac:dyDescent="0.2">
      <c r="B61" s="6"/>
      <c r="C61" s="6"/>
      <c r="D61" s="6"/>
      <c r="E61" s="6"/>
      <c r="F61" s="6"/>
      <c r="G61" s="6"/>
      <c r="H61" s="385"/>
      <c r="I61" s="385"/>
      <c r="J61" s="385"/>
      <c r="K61" s="385"/>
      <c r="L61" s="385"/>
      <c r="M61" s="385"/>
      <c r="N61" s="6"/>
      <c r="O61" s="6"/>
      <c r="P61" s="6"/>
      <c r="Q61" s="6"/>
    </row>
    <row r="62" spans="2:29" x14ac:dyDescent="0.2">
      <c r="B62" s="6"/>
      <c r="C62" s="6"/>
      <c r="D62" s="6"/>
      <c r="E62" s="6"/>
      <c r="F62" s="6"/>
      <c r="G62" s="6"/>
      <c r="H62" s="385"/>
      <c r="I62" s="385"/>
      <c r="J62" s="385"/>
      <c r="K62" s="385"/>
      <c r="L62" s="385"/>
      <c r="M62" s="385"/>
      <c r="N62" s="6"/>
      <c r="O62" s="6"/>
      <c r="P62" s="6"/>
      <c r="Q62" s="6"/>
    </row>
    <row r="63" spans="2:29" x14ac:dyDescent="0.2">
      <c r="B63" s="6"/>
      <c r="C63" s="6"/>
      <c r="D63" s="6"/>
      <c r="E63" s="6"/>
      <c r="F63" s="6"/>
      <c r="G63" s="6"/>
      <c r="H63" s="385"/>
      <c r="I63" s="385"/>
      <c r="J63" s="385"/>
      <c r="K63" s="385"/>
      <c r="L63" s="385"/>
      <c r="M63" s="385"/>
      <c r="N63" s="6"/>
      <c r="O63" s="6"/>
      <c r="P63" s="6"/>
      <c r="Q63" s="6"/>
    </row>
    <row r="64" spans="2:29" x14ac:dyDescent="0.2">
      <c r="B64" s="6"/>
      <c r="C64" s="6"/>
      <c r="D64" s="6"/>
      <c r="E64" s="6"/>
      <c r="F64" s="6"/>
      <c r="G64" s="6"/>
      <c r="H64" s="385"/>
      <c r="I64" s="385"/>
      <c r="J64" s="385"/>
      <c r="K64" s="385"/>
      <c r="L64" s="385"/>
      <c r="M64" s="385"/>
      <c r="N64" s="6"/>
      <c r="O64" s="6"/>
      <c r="P64" s="6"/>
      <c r="Q64" s="6"/>
    </row>
    <row r="65" spans="2:17" x14ac:dyDescent="0.2">
      <c r="B65" s="6"/>
      <c r="C65" s="6"/>
      <c r="D65" s="6"/>
      <c r="E65" s="6"/>
      <c r="F65" s="6"/>
      <c r="G65" s="6"/>
      <c r="H65" s="385"/>
      <c r="I65" s="385"/>
      <c r="J65" s="385"/>
      <c r="K65" s="385"/>
      <c r="L65" s="385"/>
      <c r="M65" s="385"/>
      <c r="N65" s="6"/>
      <c r="O65" s="6"/>
      <c r="P65" s="6"/>
      <c r="Q65" s="6"/>
    </row>
    <row r="66" spans="2:17" x14ac:dyDescent="0.2">
      <c r="B66" s="6"/>
      <c r="C66" s="6"/>
      <c r="D66" s="6"/>
      <c r="E66" s="6"/>
      <c r="F66" s="6"/>
      <c r="G66" s="6"/>
      <c r="H66" s="385"/>
      <c r="I66" s="385"/>
      <c r="J66" s="385"/>
      <c r="K66" s="385"/>
      <c r="L66" s="385"/>
      <c r="M66" s="385"/>
      <c r="N66" s="6"/>
      <c r="O66" s="6"/>
      <c r="P66" s="6"/>
      <c r="Q66" s="6"/>
    </row>
    <row r="67" spans="2:17" x14ac:dyDescent="0.2">
      <c r="B67" s="6"/>
      <c r="C67" s="6"/>
      <c r="D67" s="6"/>
      <c r="E67" s="6"/>
      <c r="F67" s="6"/>
      <c r="G67" s="6"/>
      <c r="H67" s="385"/>
      <c r="I67" s="385"/>
      <c r="J67" s="385"/>
      <c r="K67" s="385"/>
      <c r="L67" s="385"/>
      <c r="M67" s="385"/>
      <c r="N67" s="6"/>
      <c r="O67" s="6"/>
      <c r="P67" s="6"/>
      <c r="Q67" s="6"/>
    </row>
    <row r="68" spans="2:17" x14ac:dyDescent="0.2">
      <c r="B68" s="6"/>
      <c r="C68" s="6"/>
      <c r="D68" s="6"/>
      <c r="E68" s="6"/>
      <c r="F68" s="6"/>
      <c r="G68" s="6"/>
      <c r="H68" s="385"/>
      <c r="I68" s="385"/>
      <c r="J68" s="385"/>
      <c r="K68" s="385"/>
      <c r="L68" s="385"/>
      <c r="M68" s="385"/>
      <c r="N68" s="6"/>
      <c r="O68" s="6"/>
      <c r="P68" s="6"/>
      <c r="Q68" s="6"/>
    </row>
    <row r="69" spans="2:17" x14ac:dyDescent="0.2">
      <c r="B69" s="6"/>
      <c r="C69" s="6"/>
      <c r="D69" s="6"/>
      <c r="E69" s="6"/>
      <c r="F69" s="6"/>
      <c r="G69" s="6"/>
      <c r="H69" s="385"/>
      <c r="I69" s="385"/>
      <c r="J69" s="385"/>
      <c r="K69" s="385"/>
      <c r="L69" s="385"/>
      <c r="M69" s="385"/>
      <c r="N69" s="6"/>
      <c r="O69" s="6"/>
      <c r="P69" s="6"/>
      <c r="Q69" s="6"/>
    </row>
    <row r="70" spans="2:17" x14ac:dyDescent="0.2">
      <c r="B70" s="6"/>
      <c r="C70" s="6"/>
      <c r="D70" s="6"/>
      <c r="E70" s="6"/>
      <c r="F70" s="6"/>
      <c r="G70" s="6"/>
      <c r="H70" s="385"/>
      <c r="I70" s="385"/>
      <c r="J70" s="385"/>
      <c r="K70" s="385"/>
      <c r="L70" s="385"/>
      <c r="M70" s="385"/>
      <c r="N70" s="6"/>
      <c r="O70" s="6"/>
      <c r="P70" s="6"/>
      <c r="Q70" s="6"/>
    </row>
    <row r="71" spans="2:17" x14ac:dyDescent="0.2">
      <c r="B71" s="6"/>
      <c r="C71" s="6"/>
      <c r="D71" s="6"/>
      <c r="E71" s="6"/>
      <c r="F71" s="6"/>
      <c r="G71" s="6"/>
      <c r="H71" s="385"/>
      <c r="I71" s="385"/>
      <c r="J71" s="385"/>
      <c r="K71" s="385"/>
      <c r="L71" s="385"/>
      <c r="M71" s="385"/>
      <c r="N71" s="6"/>
      <c r="O71" s="6"/>
      <c r="P71" s="6"/>
      <c r="Q71" s="6"/>
    </row>
    <row r="72" spans="2:17" x14ac:dyDescent="0.2">
      <c r="B72" s="6"/>
      <c r="C72" s="6"/>
      <c r="D72" s="6"/>
      <c r="E72" s="6"/>
      <c r="F72" s="6"/>
      <c r="G72" s="6"/>
      <c r="H72" s="385"/>
      <c r="I72" s="385"/>
      <c r="J72" s="385"/>
      <c r="K72" s="385"/>
      <c r="L72" s="385"/>
      <c r="M72" s="385"/>
      <c r="N72" s="6"/>
      <c r="O72" s="6"/>
      <c r="P72" s="6"/>
      <c r="Q72" s="6"/>
    </row>
    <row r="73" spans="2:17" x14ac:dyDescent="0.2">
      <c r="B73" s="6"/>
      <c r="C73" s="6"/>
      <c r="D73" s="6"/>
      <c r="E73" s="6"/>
      <c r="F73" s="6"/>
      <c r="G73" s="6"/>
      <c r="H73" s="385"/>
      <c r="I73" s="385"/>
      <c r="J73" s="385"/>
      <c r="K73" s="385"/>
      <c r="L73" s="385"/>
      <c r="M73" s="385"/>
      <c r="N73" s="6"/>
      <c r="O73" s="6"/>
      <c r="P73" s="6"/>
      <c r="Q73" s="6"/>
    </row>
    <row r="74" spans="2:17" x14ac:dyDescent="0.2">
      <c r="B74" s="6"/>
      <c r="C74" s="6"/>
      <c r="D74" s="6"/>
      <c r="E74" s="6"/>
      <c r="F74" s="6"/>
      <c r="G74" s="6"/>
      <c r="H74" s="385"/>
      <c r="I74" s="385"/>
      <c r="J74" s="385"/>
      <c r="K74" s="385"/>
      <c r="L74" s="385"/>
      <c r="M74" s="385"/>
      <c r="N74" s="6"/>
      <c r="O74" s="6"/>
      <c r="P74" s="6"/>
      <c r="Q74" s="6"/>
    </row>
    <row r="75" spans="2:17" x14ac:dyDescent="0.2">
      <c r="B75" s="6"/>
      <c r="C75" s="6"/>
      <c r="D75" s="6"/>
      <c r="E75" s="6"/>
      <c r="F75" s="6"/>
      <c r="G75" s="6"/>
      <c r="H75" s="385"/>
      <c r="I75" s="385"/>
      <c r="J75" s="385"/>
      <c r="K75" s="385"/>
      <c r="L75" s="385"/>
      <c r="M75" s="385"/>
      <c r="N75" s="6"/>
      <c r="O75" s="6"/>
      <c r="P75" s="6"/>
      <c r="Q75" s="6"/>
    </row>
    <row r="76" spans="2:17" x14ac:dyDescent="0.2">
      <c r="B76" s="6"/>
      <c r="C76" s="6"/>
      <c r="D76" s="6"/>
      <c r="E76" s="6"/>
      <c r="F76" s="6"/>
      <c r="G76" s="6"/>
      <c r="H76" s="385"/>
      <c r="I76" s="385"/>
      <c r="J76" s="385"/>
      <c r="K76" s="385"/>
      <c r="L76" s="385"/>
      <c r="M76" s="385"/>
      <c r="N76" s="6"/>
      <c r="O76" s="6"/>
      <c r="P76" s="6"/>
      <c r="Q76" s="6"/>
    </row>
    <row r="77" spans="2:17" x14ac:dyDescent="0.2">
      <c r="B77" s="6"/>
      <c r="C77" s="6"/>
      <c r="D77" s="6"/>
      <c r="E77" s="6"/>
      <c r="F77" s="6"/>
      <c r="G77" s="6"/>
      <c r="H77" s="385"/>
      <c r="I77" s="385"/>
      <c r="J77" s="385"/>
      <c r="K77" s="385"/>
      <c r="L77" s="385"/>
      <c r="M77" s="385"/>
      <c r="N77" s="6"/>
      <c r="O77" s="6"/>
      <c r="P77" s="6"/>
      <c r="Q77" s="6"/>
    </row>
    <row r="78" spans="2:17" x14ac:dyDescent="0.2">
      <c r="B78" s="6"/>
      <c r="C78" s="6"/>
      <c r="D78" s="6"/>
      <c r="E78" s="6"/>
      <c r="F78" s="6"/>
      <c r="G78" s="6"/>
      <c r="H78" s="385"/>
      <c r="I78" s="385"/>
      <c r="J78" s="385"/>
      <c r="K78" s="385"/>
      <c r="L78" s="385"/>
      <c r="M78" s="385"/>
      <c r="N78" s="6"/>
      <c r="O78" s="6"/>
      <c r="P78" s="6"/>
      <c r="Q78" s="6"/>
    </row>
    <row r="79" spans="2:17" x14ac:dyDescent="0.2">
      <c r="B79" s="6"/>
      <c r="C79" s="6"/>
      <c r="D79" s="6"/>
      <c r="E79" s="6"/>
      <c r="F79" s="6"/>
      <c r="G79" s="6"/>
      <c r="H79" s="385"/>
      <c r="I79" s="385"/>
      <c r="J79" s="385"/>
      <c r="K79" s="385"/>
      <c r="L79" s="385"/>
      <c r="M79" s="385"/>
      <c r="N79" s="6"/>
      <c r="O79" s="6"/>
      <c r="P79" s="6"/>
      <c r="Q79" s="6"/>
    </row>
    <row r="80" spans="2:17" x14ac:dyDescent="0.2">
      <c r="B80" s="6"/>
      <c r="C80" s="6"/>
      <c r="D80" s="6"/>
      <c r="E80" s="6"/>
      <c r="F80" s="6"/>
      <c r="G80" s="6"/>
      <c r="H80" s="385"/>
      <c r="I80" s="385"/>
      <c r="J80" s="385"/>
      <c r="K80" s="385"/>
      <c r="L80" s="385"/>
      <c r="M80" s="385"/>
      <c r="N80" s="6"/>
      <c r="O80" s="6"/>
      <c r="P80" s="6"/>
      <c r="Q80" s="6"/>
    </row>
    <row r="81" spans="2:17" x14ac:dyDescent="0.2">
      <c r="B81" s="6"/>
      <c r="C81" s="6"/>
      <c r="D81" s="6"/>
      <c r="E81" s="6"/>
      <c r="F81" s="6"/>
      <c r="G81" s="6"/>
      <c r="H81" s="385"/>
      <c r="I81" s="385"/>
      <c r="J81" s="385"/>
      <c r="K81" s="385"/>
      <c r="L81" s="385"/>
      <c r="M81" s="385"/>
      <c r="N81" s="6"/>
      <c r="O81" s="6"/>
      <c r="P81" s="6"/>
      <c r="Q81" s="6"/>
    </row>
    <row r="82" spans="2:17" x14ac:dyDescent="0.2">
      <c r="B82" s="6"/>
      <c r="C82" s="6"/>
      <c r="D82" s="6"/>
      <c r="E82" s="6"/>
      <c r="F82" s="6"/>
      <c r="G82" s="6"/>
      <c r="H82" s="385"/>
      <c r="I82" s="385"/>
      <c r="J82" s="385"/>
      <c r="K82" s="385"/>
      <c r="L82" s="385"/>
      <c r="M82" s="385"/>
      <c r="N82" s="6"/>
      <c r="O82" s="6"/>
      <c r="P82" s="6"/>
      <c r="Q82" s="6"/>
    </row>
    <row r="83" spans="2:17" x14ac:dyDescent="0.2">
      <c r="B83" s="6"/>
      <c r="C83" s="6"/>
      <c r="D83" s="6"/>
      <c r="E83" s="6"/>
      <c r="F83" s="6"/>
      <c r="G83" s="6"/>
      <c r="H83" s="385"/>
      <c r="I83" s="385"/>
      <c r="J83" s="385"/>
      <c r="K83" s="385"/>
      <c r="L83" s="385"/>
      <c r="M83" s="385"/>
      <c r="N83" s="6"/>
      <c r="O83" s="6"/>
      <c r="P83" s="6"/>
      <c r="Q83" s="6"/>
    </row>
    <row r="84" spans="2:17" x14ac:dyDescent="0.2">
      <c r="B84" s="6"/>
      <c r="C84" s="6"/>
      <c r="D84" s="6"/>
      <c r="E84" s="6"/>
      <c r="F84" s="6"/>
      <c r="G84" s="6"/>
      <c r="H84" s="385"/>
      <c r="I84" s="385"/>
      <c r="J84" s="385"/>
      <c r="K84" s="385"/>
      <c r="L84" s="385"/>
      <c r="M84" s="385"/>
      <c r="N84" s="6"/>
      <c r="O84" s="6"/>
      <c r="P84" s="6"/>
      <c r="Q84" s="6"/>
    </row>
    <row r="85" spans="2:17" x14ac:dyDescent="0.2">
      <c r="B85" s="6"/>
      <c r="C85" s="6"/>
      <c r="D85" s="6"/>
      <c r="E85" s="6"/>
      <c r="F85" s="6"/>
      <c r="G85" s="6"/>
      <c r="H85" s="385"/>
      <c r="I85" s="385"/>
      <c r="J85" s="385"/>
      <c r="K85" s="385"/>
      <c r="L85" s="385"/>
      <c r="M85" s="385"/>
      <c r="N85" s="6"/>
      <c r="O85" s="6"/>
      <c r="P85" s="6"/>
      <c r="Q85" s="6"/>
    </row>
    <row r="86" spans="2:17" x14ac:dyDescent="0.2">
      <c r="B86" s="6"/>
      <c r="C86" s="6"/>
      <c r="D86" s="6"/>
      <c r="E86" s="6"/>
      <c r="F86" s="6"/>
      <c r="G86" s="6"/>
      <c r="H86" s="385"/>
      <c r="I86" s="385"/>
      <c r="J86" s="385"/>
      <c r="K86" s="385"/>
      <c r="L86" s="385"/>
      <c r="M86" s="385"/>
      <c r="N86" s="6"/>
      <c r="O86" s="6"/>
      <c r="P86" s="6"/>
      <c r="Q86" s="6"/>
    </row>
    <row r="87" spans="2:17" x14ac:dyDescent="0.2">
      <c r="B87" s="6"/>
      <c r="C87" s="6"/>
      <c r="D87" s="6"/>
      <c r="E87" s="6"/>
      <c r="F87" s="6"/>
      <c r="G87" s="6"/>
      <c r="H87" s="385"/>
      <c r="I87" s="385"/>
      <c r="J87" s="385"/>
      <c r="K87" s="385"/>
      <c r="L87" s="385"/>
      <c r="M87" s="385"/>
      <c r="N87" s="6"/>
      <c r="O87" s="6"/>
      <c r="P87" s="6"/>
      <c r="Q87" s="6"/>
    </row>
    <row r="88" spans="2:17" x14ac:dyDescent="0.2">
      <c r="B88" s="6"/>
      <c r="C88" s="6"/>
      <c r="D88" s="6"/>
      <c r="E88" s="6"/>
      <c r="F88" s="6"/>
      <c r="G88" s="6"/>
      <c r="H88" s="385"/>
      <c r="I88" s="385"/>
      <c r="J88" s="385"/>
      <c r="K88" s="385"/>
      <c r="L88" s="385"/>
      <c r="M88" s="385"/>
      <c r="N88" s="6"/>
      <c r="O88" s="6"/>
      <c r="P88" s="6"/>
      <c r="Q88" s="6"/>
    </row>
    <row r="89" spans="2:17" x14ac:dyDescent="0.2">
      <c r="B89" s="6"/>
      <c r="C89" s="6"/>
      <c r="D89" s="6"/>
      <c r="E89" s="6"/>
      <c r="F89" s="6"/>
      <c r="G89" s="6"/>
      <c r="H89" s="385"/>
      <c r="I89" s="385"/>
      <c r="J89" s="385"/>
      <c r="K89" s="385"/>
      <c r="L89" s="385"/>
      <c r="M89" s="385"/>
      <c r="N89" s="6"/>
      <c r="O89" s="6"/>
      <c r="P89" s="6"/>
      <c r="Q89" s="6"/>
    </row>
    <row r="90" spans="2:17" x14ac:dyDescent="0.2">
      <c r="B90" s="6"/>
      <c r="C90" s="6"/>
      <c r="D90" s="6"/>
      <c r="E90" s="6"/>
      <c r="F90" s="6"/>
      <c r="G90" s="6"/>
      <c r="H90" s="385"/>
      <c r="I90" s="385"/>
      <c r="J90" s="385"/>
      <c r="K90" s="385"/>
      <c r="L90" s="385"/>
      <c r="M90" s="385"/>
      <c r="N90" s="6"/>
      <c r="O90" s="6"/>
      <c r="P90" s="6"/>
      <c r="Q90" s="6"/>
    </row>
    <row r="91" spans="2:17" x14ac:dyDescent="0.2">
      <c r="B91" s="6"/>
      <c r="C91" s="6"/>
      <c r="D91" s="6"/>
      <c r="E91" s="6"/>
      <c r="F91" s="6"/>
      <c r="G91" s="6"/>
      <c r="H91" s="385"/>
      <c r="I91" s="385"/>
      <c r="J91" s="385"/>
      <c r="K91" s="385"/>
      <c r="L91" s="385"/>
      <c r="M91" s="385"/>
      <c r="N91" s="6"/>
      <c r="O91" s="6"/>
      <c r="P91" s="6"/>
      <c r="Q91" s="6"/>
    </row>
    <row r="92" spans="2:17" x14ac:dyDescent="0.2">
      <c r="B92" s="6"/>
      <c r="C92" s="6"/>
      <c r="D92" s="6"/>
      <c r="E92" s="6"/>
      <c r="F92" s="6"/>
      <c r="G92" s="6"/>
      <c r="H92" s="385"/>
      <c r="I92" s="385"/>
      <c r="J92" s="385"/>
      <c r="K92" s="385"/>
      <c r="L92" s="385"/>
      <c r="M92" s="385"/>
      <c r="N92" s="6"/>
      <c r="O92" s="6"/>
      <c r="P92" s="6"/>
      <c r="Q92" s="6"/>
    </row>
    <row r="93" spans="2:17" x14ac:dyDescent="0.2">
      <c r="B93" s="6"/>
      <c r="C93" s="6"/>
      <c r="D93" s="6"/>
      <c r="E93" s="6"/>
      <c r="F93" s="6"/>
      <c r="G93" s="6"/>
      <c r="H93" s="385"/>
      <c r="I93" s="385"/>
      <c r="J93" s="385"/>
      <c r="K93" s="385"/>
      <c r="L93" s="385"/>
      <c r="M93" s="385"/>
      <c r="N93" s="6"/>
      <c r="O93" s="6"/>
      <c r="P93" s="6"/>
      <c r="Q93" s="6"/>
    </row>
    <row r="94" spans="2:17" x14ac:dyDescent="0.2">
      <c r="B94" s="6"/>
      <c r="C94" s="6"/>
      <c r="D94" s="6"/>
      <c r="E94" s="6"/>
      <c r="F94" s="6"/>
      <c r="G94" s="6"/>
      <c r="H94" s="385"/>
      <c r="I94" s="385"/>
      <c r="J94" s="385"/>
      <c r="K94" s="385"/>
      <c r="L94" s="385"/>
      <c r="M94" s="385"/>
      <c r="N94" s="6"/>
      <c r="O94" s="6"/>
      <c r="P94" s="6"/>
      <c r="Q94" s="6"/>
    </row>
    <row r="95" spans="2:17" x14ac:dyDescent="0.2">
      <c r="B95" s="6"/>
      <c r="C95" s="6"/>
      <c r="D95" s="6"/>
      <c r="E95" s="6"/>
      <c r="F95" s="6"/>
      <c r="G95" s="6"/>
      <c r="H95" s="385"/>
      <c r="I95" s="385"/>
      <c r="J95" s="385"/>
      <c r="K95" s="385"/>
      <c r="L95" s="385"/>
      <c r="M95" s="385"/>
      <c r="N95" s="6"/>
      <c r="O95" s="6"/>
      <c r="P95" s="6"/>
      <c r="Q95" s="6"/>
    </row>
    <row r="96" spans="2:17" x14ac:dyDescent="0.2">
      <c r="B96" s="6"/>
      <c r="C96" s="6"/>
      <c r="D96" s="6"/>
      <c r="E96" s="6"/>
      <c r="F96" s="6"/>
      <c r="G96" s="6"/>
      <c r="H96" s="385"/>
      <c r="I96" s="385"/>
      <c r="J96" s="385"/>
      <c r="K96" s="385"/>
      <c r="L96" s="385"/>
      <c r="M96" s="385"/>
      <c r="N96" s="6"/>
      <c r="O96" s="6"/>
      <c r="P96" s="6"/>
      <c r="Q96" s="6"/>
    </row>
    <row r="97" spans="2:17" x14ac:dyDescent="0.2">
      <c r="B97" s="6"/>
      <c r="C97" s="6"/>
      <c r="D97" s="6"/>
      <c r="E97" s="6"/>
      <c r="F97" s="6"/>
      <c r="G97" s="6"/>
      <c r="H97" s="385"/>
      <c r="I97" s="385"/>
      <c r="J97" s="385"/>
      <c r="K97" s="385"/>
      <c r="L97" s="385"/>
      <c r="M97" s="385"/>
      <c r="N97" s="6"/>
      <c r="O97" s="6"/>
      <c r="P97" s="6"/>
      <c r="Q97" s="6"/>
    </row>
    <row r="98" spans="2:17" x14ac:dyDescent="0.2">
      <c r="B98" s="6"/>
      <c r="C98" s="6"/>
      <c r="D98" s="6"/>
      <c r="E98" s="6"/>
      <c r="F98" s="6"/>
      <c r="G98" s="6"/>
      <c r="H98" s="385"/>
      <c r="I98" s="385"/>
      <c r="J98" s="385"/>
      <c r="K98" s="385"/>
      <c r="L98" s="385"/>
      <c r="M98" s="385"/>
      <c r="N98" s="6"/>
      <c r="O98" s="6"/>
      <c r="P98" s="6"/>
      <c r="Q98" s="6"/>
    </row>
    <row r="99" spans="2:17" x14ac:dyDescent="0.2">
      <c r="B99" s="6"/>
      <c r="C99" s="6"/>
      <c r="D99" s="6"/>
      <c r="E99" s="6"/>
      <c r="F99" s="6"/>
      <c r="G99" s="6"/>
      <c r="H99" s="385"/>
      <c r="I99" s="385"/>
      <c r="J99" s="385"/>
      <c r="K99" s="385"/>
      <c r="L99" s="385"/>
      <c r="M99" s="385"/>
      <c r="N99" s="6"/>
      <c r="O99" s="6"/>
      <c r="P99" s="6"/>
      <c r="Q99" s="6"/>
    </row>
    <row r="100" spans="2:17" x14ac:dyDescent="0.2">
      <c r="B100" s="6"/>
      <c r="C100" s="6"/>
      <c r="D100" s="6"/>
      <c r="E100" s="6"/>
      <c r="F100" s="6"/>
      <c r="G100" s="6"/>
      <c r="H100" s="385"/>
      <c r="I100" s="385"/>
      <c r="J100" s="385"/>
      <c r="K100" s="385"/>
      <c r="L100" s="385"/>
      <c r="M100" s="385"/>
      <c r="N100" s="6"/>
      <c r="O100" s="6"/>
      <c r="P100" s="6"/>
      <c r="Q100" s="6"/>
    </row>
    <row r="101" spans="2:17" x14ac:dyDescent="0.2">
      <c r="B101" s="6"/>
      <c r="C101" s="6"/>
      <c r="D101" s="6"/>
      <c r="E101" s="6"/>
      <c r="F101" s="6"/>
      <c r="G101" s="6"/>
      <c r="H101" s="385"/>
      <c r="I101" s="385"/>
      <c r="J101" s="385"/>
      <c r="K101" s="385"/>
      <c r="L101" s="385"/>
      <c r="M101" s="385"/>
      <c r="N101" s="6"/>
      <c r="O101" s="6"/>
    </row>
    <row r="102" spans="2:17" x14ac:dyDescent="0.2">
      <c r="B102" s="6"/>
      <c r="C102" s="6"/>
      <c r="D102" s="6"/>
      <c r="E102" s="6"/>
      <c r="F102" s="6"/>
      <c r="G102" s="6"/>
      <c r="H102" s="385"/>
      <c r="I102" s="385"/>
      <c r="J102" s="385"/>
      <c r="K102" s="385"/>
      <c r="L102" s="385"/>
      <c r="M102" s="385"/>
      <c r="N102" s="6"/>
      <c r="O102" s="6"/>
    </row>
    <row r="103" spans="2:17" x14ac:dyDescent="0.2">
      <c r="B103" s="6"/>
      <c r="C103" s="6"/>
      <c r="D103" s="6"/>
      <c r="E103" s="6"/>
      <c r="F103" s="6"/>
      <c r="G103" s="6"/>
      <c r="H103" s="385"/>
      <c r="I103" s="385"/>
      <c r="J103" s="385"/>
      <c r="K103" s="385"/>
      <c r="L103" s="385"/>
      <c r="M103" s="385"/>
      <c r="N103" s="6"/>
      <c r="O103" s="6"/>
    </row>
    <row r="104" spans="2:17" x14ac:dyDescent="0.2">
      <c r="B104" s="6"/>
      <c r="C104" s="6"/>
      <c r="D104" s="6"/>
      <c r="E104" s="6"/>
      <c r="F104" s="6"/>
      <c r="G104" s="6"/>
      <c r="H104" s="385"/>
      <c r="I104" s="385"/>
      <c r="J104" s="385"/>
      <c r="K104" s="385"/>
      <c r="L104" s="385"/>
      <c r="M104" s="385"/>
      <c r="N104" s="6"/>
      <c r="O104" s="6"/>
    </row>
    <row r="105" spans="2:17" x14ac:dyDescent="0.2">
      <c r="B105" s="6"/>
      <c r="C105" s="6"/>
      <c r="D105" s="6"/>
      <c r="E105" s="6"/>
      <c r="F105" s="6"/>
      <c r="G105" s="6"/>
      <c r="H105" s="385"/>
      <c r="I105" s="385"/>
      <c r="J105" s="385"/>
      <c r="K105" s="385"/>
      <c r="L105" s="385"/>
      <c r="M105" s="385"/>
      <c r="N105" s="6"/>
      <c r="O105" s="6"/>
    </row>
    <row r="106" spans="2:17" x14ac:dyDescent="0.2">
      <c r="B106" s="6"/>
      <c r="C106" s="6"/>
      <c r="D106" s="6"/>
      <c r="E106" s="6"/>
      <c r="F106" s="6"/>
      <c r="G106" s="6"/>
      <c r="H106" s="385"/>
      <c r="I106" s="385"/>
      <c r="J106" s="385"/>
      <c r="K106" s="385"/>
      <c r="L106" s="385"/>
      <c r="M106" s="385"/>
      <c r="N106" s="6"/>
      <c r="O106" s="6"/>
    </row>
    <row r="107" spans="2:17" x14ac:dyDescent="0.2">
      <c r="B107" s="6"/>
      <c r="C107" s="6"/>
      <c r="D107" s="6"/>
      <c r="E107" s="6"/>
      <c r="F107" s="6"/>
      <c r="G107" s="6"/>
      <c r="H107" s="385"/>
      <c r="I107" s="385"/>
      <c r="J107" s="385"/>
      <c r="K107" s="385"/>
      <c r="L107" s="385"/>
      <c r="M107" s="385"/>
      <c r="N107" s="6"/>
      <c r="O107" s="6"/>
    </row>
  </sheetData>
  <phoneticPr fontId="81" type="noConversion"/>
  <printOptions gridLines="1"/>
  <pageMargins left="0.74803149606299213" right="0.74803149606299213" top="0.98425196850393704" bottom="0.98425196850393704" header="0.51181102362204722" footer="0.51181102362204722"/>
  <pageSetup paperSize="9" scale="71" orientation="landscape" r:id="rId1"/>
  <headerFooter alignWithMargins="0">
    <oddHeader>&amp;L&amp;"Arial,Vet"&amp;9&amp;F&amp;R&amp;"Arial,Vet"&amp;9&amp;A</oddHeader>
    <oddFooter>&amp;L&amp;"Arial,Vet"&amp;9be.keizer@wxs.nl&amp;C&amp;"Arial,Vet"&amp;9pagina &amp;P&amp;R&amp;"Arial,Vet"&amp;9&amp;D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T269"/>
  <sheetViews>
    <sheetView zoomScale="80" zoomScaleNormal="80" zoomScaleSheetLayoutView="80" workbookViewId="0">
      <selection activeCell="B2" sqref="B2"/>
    </sheetView>
  </sheetViews>
  <sheetFormatPr defaultRowHeight="12.75" x14ac:dyDescent="0.2"/>
  <cols>
    <col min="1" max="1" width="2.42578125" style="6" customWidth="1"/>
    <col min="2" max="3" width="2.7109375" style="6" customWidth="1"/>
    <col min="4" max="4" width="10.7109375" style="9" customWidth="1"/>
    <col min="5" max="5" width="21.7109375" style="9" customWidth="1"/>
    <col min="6" max="6" width="17.85546875" style="9" customWidth="1"/>
    <col min="7" max="7" width="8.85546875" style="165" customWidth="1"/>
    <col min="8" max="8" width="8.85546875" style="220" customWidth="1"/>
    <col min="9" max="9" width="8.85546875" style="221" customWidth="1"/>
    <col min="10" max="10" width="10" style="221" customWidth="1"/>
    <col min="11" max="11" width="9.85546875" style="222" customWidth="1"/>
    <col min="12" max="12" width="2.28515625" style="1082" customWidth="1"/>
    <col min="13" max="13" width="10.42578125" style="223" customWidth="1"/>
    <col min="14" max="14" width="11" style="6" customWidth="1"/>
    <col min="15" max="15" width="10.7109375" style="224" customWidth="1"/>
    <col min="16" max="17" width="10.7109375" style="6" customWidth="1"/>
    <col min="18" max="18" width="13" style="6" customWidth="1"/>
    <col min="19" max="19" width="10.7109375" style="6" customWidth="1"/>
    <col min="20" max="20" width="12.7109375" style="225" customWidth="1"/>
    <col min="21" max="21" width="12" style="226" customWidth="1"/>
    <col min="22" max="22" width="3" style="6" customWidth="1"/>
    <col min="23" max="23" width="2.7109375" style="6" customWidth="1"/>
    <col min="24" max="24" width="4.140625" style="6" customWidth="1"/>
    <col min="25" max="28" width="8.7109375" style="6" customWidth="1"/>
    <col min="29" max="29" width="8.7109375" style="165" customWidth="1"/>
    <col min="30" max="30" width="10.5703125" style="228" customWidth="1"/>
    <col min="31" max="31" width="9.85546875" style="6" customWidth="1"/>
    <col min="32" max="32" width="8.140625" style="6" customWidth="1"/>
    <col min="33" max="33" width="8.85546875" style="6" customWidth="1"/>
    <col min="34" max="34" width="9.28515625" style="6" customWidth="1"/>
    <col min="35" max="35" width="8.85546875" style="6" customWidth="1"/>
    <col min="36" max="36" width="8.140625" style="6" customWidth="1"/>
    <col min="37" max="37" width="9.85546875" style="6" customWidth="1"/>
    <col min="38" max="38" width="9.28515625" style="165" customWidth="1"/>
    <col min="39" max="39" width="12.7109375" style="228" customWidth="1"/>
    <col min="40" max="40" width="12.7109375" style="6" customWidth="1"/>
    <col min="41" max="41" width="1.5703125" style="6" customWidth="1"/>
    <col min="42" max="43" width="10.7109375" style="6" customWidth="1"/>
    <col min="44" max="45" width="2.7109375" style="6" customWidth="1"/>
    <col min="46" max="51" width="9.28515625" style="6" bestFit="1" customWidth="1"/>
    <col min="52" max="16384" width="9.140625" style="6"/>
  </cols>
  <sheetData>
    <row r="1" spans="2:46" ht="12.75" customHeight="1" x14ac:dyDescent="0.2"/>
    <row r="2" spans="2:46" x14ac:dyDescent="0.2">
      <c r="B2" s="71"/>
      <c r="C2" s="19"/>
      <c r="D2" s="285"/>
      <c r="E2" s="285"/>
      <c r="F2" s="285"/>
      <c r="G2" s="171"/>
      <c r="H2" s="286"/>
      <c r="I2" s="287"/>
      <c r="J2" s="287"/>
      <c r="K2" s="288"/>
      <c r="L2" s="1090"/>
      <c r="M2" s="289"/>
      <c r="N2" s="19"/>
      <c r="O2" s="290"/>
      <c r="P2" s="19"/>
      <c r="Q2" s="19"/>
      <c r="R2" s="19"/>
      <c r="S2" s="19"/>
      <c r="T2" s="291"/>
      <c r="U2" s="292"/>
      <c r="V2" s="19"/>
      <c r="W2" s="20"/>
    </row>
    <row r="3" spans="2:46" x14ac:dyDescent="0.2">
      <c r="B3" s="21"/>
      <c r="C3" s="22"/>
      <c r="D3" s="293"/>
      <c r="E3" s="293"/>
      <c r="F3" s="293"/>
      <c r="G3" s="24"/>
      <c r="H3" s="294"/>
      <c r="I3" s="295"/>
      <c r="J3" s="295"/>
      <c r="K3" s="296"/>
      <c r="L3" s="1091"/>
      <c r="M3" s="297"/>
      <c r="N3" s="22"/>
      <c r="O3" s="298"/>
      <c r="P3" s="22"/>
      <c r="Q3" s="22"/>
      <c r="R3" s="22"/>
      <c r="S3" s="22"/>
      <c r="T3" s="299"/>
      <c r="U3" s="300"/>
      <c r="V3" s="22"/>
      <c r="W3" s="25"/>
    </row>
    <row r="4" spans="2:46" s="229" customFormat="1" ht="18.75" x14ac:dyDescent="0.3">
      <c r="B4" s="301"/>
      <c r="C4" s="54" t="s">
        <v>478</v>
      </c>
      <c r="D4" s="303"/>
      <c r="E4" s="304"/>
      <c r="F4" s="304"/>
      <c r="G4" s="305"/>
      <c r="H4" s="306"/>
      <c r="I4" s="307"/>
      <c r="J4" s="307"/>
      <c r="K4" s="308"/>
      <c r="L4" s="1092"/>
      <c r="M4" s="309"/>
      <c r="N4" s="303"/>
      <c r="O4" s="310"/>
      <c r="P4" s="303"/>
      <c r="Q4" s="303"/>
      <c r="R4" s="303"/>
      <c r="S4" s="303"/>
      <c r="T4" s="311"/>
      <c r="U4" s="312"/>
      <c r="V4" s="303"/>
      <c r="W4" s="313"/>
      <c r="AC4" s="234"/>
      <c r="AD4" s="233"/>
      <c r="AE4" s="234"/>
      <c r="AF4" s="234"/>
      <c r="AG4" s="234"/>
      <c r="AH4" s="234"/>
      <c r="AI4" s="231"/>
      <c r="AJ4" s="230"/>
      <c r="AK4" s="232"/>
      <c r="AL4" s="235"/>
      <c r="AM4" s="231"/>
    </row>
    <row r="5" spans="2:46" s="236" customFormat="1" ht="18.75" x14ac:dyDescent="0.3">
      <c r="B5" s="314"/>
      <c r="C5" s="1359" t="str">
        <f>'geg ll'!C5</f>
        <v>Voorbeeld SWV VO Alkmaar</v>
      </c>
      <c r="D5" s="315"/>
      <c r="E5" s="316"/>
      <c r="F5" s="316"/>
      <c r="G5" s="317"/>
      <c r="H5" s="318"/>
      <c r="I5" s="319"/>
      <c r="J5" s="319"/>
      <c r="K5" s="320"/>
      <c r="L5" s="1093"/>
      <c r="M5" s="321"/>
      <c r="N5" s="315"/>
      <c r="O5" s="322"/>
      <c r="P5" s="315"/>
      <c r="Q5" s="315"/>
      <c r="R5" s="315"/>
      <c r="S5" s="315"/>
      <c r="T5" s="323"/>
      <c r="U5" s="324"/>
      <c r="V5" s="315"/>
      <c r="W5" s="325"/>
      <c r="AC5" s="241"/>
      <c r="AD5" s="240"/>
      <c r="AE5" s="241"/>
      <c r="AF5" s="241"/>
      <c r="AG5" s="241"/>
      <c r="AH5" s="241"/>
      <c r="AI5" s="238"/>
      <c r="AJ5" s="237"/>
      <c r="AK5" s="239"/>
      <c r="AL5" s="242"/>
      <c r="AM5" s="238"/>
    </row>
    <row r="6" spans="2:46" s="236" customFormat="1" ht="13.5" customHeight="1" x14ac:dyDescent="0.3">
      <c r="B6" s="314"/>
      <c r="C6" s="823"/>
      <c r="D6" s="315"/>
      <c r="E6" s="316"/>
      <c r="F6" s="316"/>
      <c r="G6" s="317"/>
      <c r="H6" s="318"/>
      <c r="I6" s="319"/>
      <c r="J6" s="319"/>
      <c r="K6" s="320"/>
      <c r="L6" s="1093"/>
      <c r="M6" s="321"/>
      <c r="N6" s="315"/>
      <c r="O6" s="322"/>
      <c r="P6" s="315"/>
      <c r="Q6" s="315"/>
      <c r="R6" s="315"/>
      <c r="S6" s="315"/>
      <c r="T6" s="323"/>
      <c r="U6" s="324"/>
      <c r="V6" s="315"/>
      <c r="W6" s="824"/>
      <c r="AC6" s="241"/>
      <c r="AD6" s="240"/>
      <c r="AE6" s="241"/>
      <c r="AF6" s="241"/>
      <c r="AG6" s="241"/>
      <c r="AH6" s="241"/>
      <c r="AI6" s="238"/>
      <c r="AJ6" s="237"/>
      <c r="AK6" s="239"/>
      <c r="AL6" s="242"/>
      <c r="AM6" s="238"/>
    </row>
    <row r="7" spans="2:46" s="245" customFormat="1" ht="12.75" hidden="1" customHeight="1" x14ac:dyDescent="0.25">
      <c r="B7" s="326"/>
      <c r="C7" s="22" t="s">
        <v>119</v>
      </c>
      <c r="D7" s="293"/>
      <c r="E7" s="339" t="str">
        <f>tab!E2</f>
        <v>2018/19</v>
      </c>
      <c r="F7" s="329"/>
      <c r="G7" s="330"/>
      <c r="H7" s="331"/>
      <c r="I7" s="332"/>
      <c r="J7" s="332"/>
      <c r="K7" s="333"/>
      <c r="L7" s="1509"/>
      <c r="M7" s="334"/>
      <c r="N7" s="327"/>
      <c r="O7" s="335"/>
      <c r="P7" s="327"/>
      <c r="Q7" s="327"/>
      <c r="R7" s="327"/>
      <c r="S7" s="327"/>
      <c r="T7" s="336"/>
      <c r="U7" s="337"/>
      <c r="V7" s="327"/>
      <c r="W7" s="338"/>
      <c r="AC7" s="249"/>
      <c r="AD7" s="250"/>
      <c r="AE7" s="249"/>
      <c r="AF7" s="249"/>
      <c r="AG7" s="249"/>
      <c r="AH7" s="249"/>
      <c r="AI7" s="247"/>
      <c r="AJ7" s="246"/>
      <c r="AK7" s="248"/>
      <c r="AL7" s="251"/>
      <c r="AM7" s="247"/>
    </row>
    <row r="8" spans="2:46" ht="12.75" hidden="1" customHeight="1" x14ac:dyDescent="0.2">
      <c r="B8" s="21"/>
      <c r="C8" s="22" t="s">
        <v>120</v>
      </c>
      <c r="D8" s="293"/>
      <c r="E8" s="339">
        <f>tab!F3</f>
        <v>43374</v>
      </c>
      <c r="F8" s="52"/>
      <c r="G8" s="53"/>
      <c r="H8" s="340"/>
      <c r="I8" s="295"/>
      <c r="J8" s="295"/>
      <c r="K8" s="296"/>
      <c r="L8" s="1509"/>
      <c r="M8" s="297"/>
      <c r="N8" s="22"/>
      <c r="O8" s="298"/>
      <c r="P8" s="22"/>
      <c r="Q8" s="22"/>
      <c r="R8" s="22"/>
      <c r="S8" s="22"/>
      <c r="T8" s="299"/>
      <c r="U8" s="300"/>
      <c r="V8" s="22"/>
      <c r="W8" s="25"/>
      <c r="AC8" s="243"/>
      <c r="AD8" s="244"/>
      <c r="AE8" s="243"/>
      <c r="AF8" s="243"/>
      <c r="AG8" s="243"/>
      <c r="AH8" s="243"/>
      <c r="AI8" s="222"/>
      <c r="AJ8" s="221"/>
      <c r="AK8" s="223"/>
      <c r="AL8" s="14"/>
      <c r="AM8" s="222"/>
    </row>
    <row r="9" spans="2:46" ht="12.75" hidden="1" customHeight="1" x14ac:dyDescent="0.25">
      <c r="B9" s="21"/>
      <c r="C9" s="459" t="s">
        <v>475</v>
      </c>
      <c r="D9" s="328"/>
      <c r="E9" s="341"/>
      <c r="F9" s="52"/>
      <c r="G9" s="53"/>
      <c r="H9" s="340"/>
      <c r="I9" s="295"/>
      <c r="J9" s="295"/>
      <c r="K9" s="296"/>
      <c r="L9" s="1509"/>
      <c r="M9" s="297"/>
      <c r="N9" s="22"/>
      <c r="O9" s="298"/>
      <c r="P9" s="22"/>
      <c r="Q9" s="22"/>
      <c r="R9" s="22"/>
      <c r="S9" s="22"/>
      <c r="T9" s="299"/>
      <c r="U9" s="300"/>
      <c r="V9" s="22"/>
      <c r="W9" s="25"/>
      <c r="AC9" s="253"/>
      <c r="AD9" s="254"/>
      <c r="AE9" s="253"/>
      <c r="AF9" s="253"/>
      <c r="AG9" s="253"/>
      <c r="AH9" s="243"/>
      <c r="AI9" s="255"/>
      <c r="AJ9" s="256"/>
      <c r="AK9" s="257"/>
      <c r="AL9" s="258"/>
      <c r="AM9" s="255"/>
    </row>
    <row r="10" spans="2:46" ht="12.75" hidden="1" customHeight="1" x14ac:dyDescent="0.2">
      <c r="B10" s="21"/>
      <c r="C10" s="34"/>
      <c r="D10" s="183"/>
      <c r="E10" s="92"/>
      <c r="F10" s="183"/>
      <c r="G10" s="182"/>
      <c r="H10" s="189"/>
      <c r="I10" s="348"/>
      <c r="J10" s="348"/>
      <c r="K10" s="349"/>
      <c r="L10" s="1083"/>
      <c r="M10" s="350"/>
      <c r="N10" s="34"/>
      <c r="O10" s="351"/>
      <c r="P10" s="34"/>
      <c r="Q10" s="34"/>
      <c r="R10" s="34"/>
      <c r="S10" s="34"/>
      <c r="T10" s="352"/>
      <c r="U10" s="353"/>
      <c r="V10" s="34"/>
      <c r="W10" s="25"/>
      <c r="X10" s="852"/>
      <c r="AC10" s="1097"/>
      <c r="AD10" s="1098"/>
      <c r="AE10" s="1097"/>
      <c r="AF10" s="1097"/>
      <c r="AG10" s="1097"/>
      <c r="AH10" s="1099"/>
      <c r="AI10" s="1100"/>
      <c r="AJ10" s="1101"/>
      <c r="AK10" s="1102"/>
      <c r="AL10" s="1103"/>
      <c r="AM10" s="255"/>
    </row>
    <row r="11" spans="2:46" s="1077" customFormat="1" ht="12.75" hidden="1" customHeight="1" x14ac:dyDescent="0.2">
      <c r="B11" s="1075"/>
      <c r="C11" s="1076"/>
      <c r="D11" s="1072" t="s">
        <v>121</v>
      </c>
      <c r="E11" s="1073"/>
      <c r="F11" s="1073"/>
      <c r="G11" s="1073"/>
      <c r="H11" s="1073"/>
      <c r="I11" s="1073"/>
      <c r="J11" s="1073"/>
      <c r="K11" s="1073"/>
      <c r="L11" s="1081"/>
      <c r="M11" s="1112" t="s">
        <v>649</v>
      </c>
      <c r="N11" s="1113"/>
      <c r="O11" s="1114"/>
      <c r="P11" s="1114"/>
      <c r="Q11" s="1113"/>
      <c r="R11" s="1115" t="s">
        <v>650</v>
      </c>
      <c r="S11" s="1116"/>
      <c r="T11" s="1116"/>
      <c r="U11" s="1116"/>
      <c r="V11" s="1117"/>
      <c r="W11" s="1118"/>
      <c r="X11" s="1119"/>
      <c r="Y11" s="1120"/>
      <c r="Z11" s="1121"/>
      <c r="AA11" s="1121"/>
      <c r="AB11" s="1122"/>
      <c r="AC11" s="1123"/>
      <c r="AD11" s="1124"/>
      <c r="AE11" s="1123"/>
      <c r="AF11" s="1125"/>
      <c r="AG11" s="1125"/>
      <c r="AH11" s="1126"/>
      <c r="AI11" s="1127"/>
      <c r="AJ11" s="1126"/>
      <c r="AK11" s="1128"/>
      <c r="AL11" s="1128"/>
      <c r="AN11" s="259"/>
      <c r="AO11" s="259"/>
    </row>
    <row r="12" spans="2:46" s="208" customFormat="1" ht="12.75" hidden="1" customHeight="1" x14ac:dyDescent="0.2">
      <c r="B12" s="211"/>
      <c r="C12" s="354"/>
      <c r="D12" s="369" t="s">
        <v>122</v>
      </c>
      <c r="E12" s="369" t="s">
        <v>123</v>
      </c>
      <c r="F12" s="369" t="s">
        <v>124</v>
      </c>
      <c r="G12" s="370" t="s">
        <v>125</v>
      </c>
      <c r="H12" s="371" t="s">
        <v>126</v>
      </c>
      <c r="I12" s="370" t="s">
        <v>91</v>
      </c>
      <c r="J12" s="370" t="s">
        <v>127</v>
      </c>
      <c r="K12" s="372" t="s">
        <v>128</v>
      </c>
      <c r="L12" s="1084"/>
      <c r="M12" s="1129" t="s">
        <v>651</v>
      </c>
      <c r="N12" s="1130" t="s">
        <v>652</v>
      </c>
      <c r="O12" s="1131" t="s">
        <v>653</v>
      </c>
      <c r="P12" s="1132" t="s">
        <v>654</v>
      </c>
      <c r="Q12" s="1130" t="s">
        <v>655</v>
      </c>
      <c r="R12" s="1131" t="s">
        <v>129</v>
      </c>
      <c r="S12" s="1129" t="s">
        <v>656</v>
      </c>
      <c r="T12" s="1129" t="s">
        <v>657</v>
      </c>
      <c r="U12" s="1129" t="s">
        <v>129</v>
      </c>
      <c r="V12" s="1133"/>
      <c r="W12" s="1134"/>
      <c r="X12" s="1135"/>
      <c r="Y12" s="1136"/>
      <c r="Z12" s="1137"/>
      <c r="AA12" s="1137"/>
      <c r="AB12" s="1141" t="s">
        <v>253</v>
      </c>
      <c r="AC12" s="1142" t="s">
        <v>658</v>
      </c>
      <c r="AD12" s="1143" t="s">
        <v>659</v>
      </c>
      <c r="AE12" s="1143" t="s">
        <v>659</v>
      </c>
      <c r="AF12" s="1143" t="s">
        <v>660</v>
      </c>
      <c r="AG12" s="1143" t="s">
        <v>655</v>
      </c>
      <c r="AH12" s="1143" t="s">
        <v>661</v>
      </c>
      <c r="AI12" s="1143" t="s">
        <v>662</v>
      </c>
      <c r="AJ12" s="1143" t="s">
        <v>663</v>
      </c>
      <c r="AK12" s="1143" t="s">
        <v>131</v>
      </c>
      <c r="AL12" s="1006" t="s">
        <v>266</v>
      </c>
      <c r="AN12" s="259"/>
      <c r="AO12" s="261"/>
    </row>
    <row r="13" spans="2:46" s="208" customFormat="1" ht="12.75" hidden="1" customHeight="1" x14ac:dyDescent="0.2">
      <c r="B13" s="211"/>
      <c r="C13" s="354"/>
      <c r="D13" s="374"/>
      <c r="E13" s="369"/>
      <c r="F13" s="375"/>
      <c r="G13" s="370" t="s">
        <v>133</v>
      </c>
      <c r="H13" s="371" t="s">
        <v>134</v>
      </c>
      <c r="I13" s="370"/>
      <c r="J13" s="370"/>
      <c r="K13" s="372"/>
      <c r="L13" s="1084"/>
      <c r="M13" s="1138" t="s">
        <v>664</v>
      </c>
      <c r="N13" s="1130" t="s">
        <v>665</v>
      </c>
      <c r="O13" s="1131" t="s">
        <v>666</v>
      </c>
      <c r="P13" s="1132" t="s">
        <v>71</v>
      </c>
      <c r="Q13" s="1130" t="s">
        <v>667</v>
      </c>
      <c r="R13" s="1131" t="s">
        <v>668</v>
      </c>
      <c r="S13" s="1139" t="s">
        <v>669</v>
      </c>
      <c r="T13" s="1139" t="s">
        <v>670</v>
      </c>
      <c r="U13" s="1129" t="s">
        <v>71</v>
      </c>
      <c r="V13" s="1133"/>
      <c r="W13" s="1134"/>
      <c r="X13" s="1135"/>
      <c r="Y13" s="1140"/>
      <c r="Z13" s="1137"/>
      <c r="AA13" s="1137"/>
      <c r="AB13" s="1143" t="s">
        <v>671</v>
      </c>
      <c r="AC13" s="1144">
        <f>tab!$E$69</f>
        <v>0.54</v>
      </c>
      <c r="AD13" s="1143" t="s">
        <v>672</v>
      </c>
      <c r="AE13" s="1143" t="s">
        <v>673</v>
      </c>
      <c r="AF13" s="1143" t="s">
        <v>674</v>
      </c>
      <c r="AG13" s="1143" t="s">
        <v>667</v>
      </c>
      <c r="AH13" s="1143" t="s">
        <v>675</v>
      </c>
      <c r="AI13" s="1143" t="s">
        <v>675</v>
      </c>
      <c r="AJ13" s="1143" t="s">
        <v>676</v>
      </c>
      <c r="AK13" s="1143"/>
      <c r="AL13" s="1143" t="s">
        <v>130</v>
      </c>
      <c r="AO13" s="262"/>
    </row>
    <row r="14" spans="2:46" ht="12.75" hidden="1" customHeight="1" x14ac:dyDescent="0.2">
      <c r="B14" s="21"/>
      <c r="C14" s="34"/>
      <c r="D14" s="183"/>
      <c r="E14" s="183"/>
      <c r="F14" s="183"/>
      <c r="G14" s="182"/>
      <c r="H14" s="189"/>
      <c r="I14" s="355"/>
      <c r="J14" s="355"/>
      <c r="K14" s="356"/>
      <c r="L14" s="1085"/>
      <c r="M14" s="356"/>
      <c r="N14" s="357"/>
      <c r="O14" s="358"/>
      <c r="P14" s="359"/>
      <c r="Q14" s="359"/>
      <c r="R14" s="359"/>
      <c r="S14" s="359"/>
      <c r="T14" s="360"/>
      <c r="U14" s="361"/>
      <c r="V14" s="357"/>
      <c r="W14" s="25"/>
      <c r="AC14" s="6"/>
      <c r="AD14" s="6"/>
      <c r="AL14" s="6"/>
      <c r="AM14" s="6"/>
      <c r="AO14" s="265"/>
    </row>
    <row r="15" spans="2:46" ht="12.75" hidden="1" customHeight="1" x14ac:dyDescent="0.2">
      <c r="B15" s="21"/>
      <c r="C15" s="34"/>
      <c r="D15" s="95"/>
      <c r="E15" s="1284" t="s">
        <v>785</v>
      </c>
      <c r="F15" s="509" t="s">
        <v>786</v>
      </c>
      <c r="G15" s="1149">
        <v>22</v>
      </c>
      <c r="H15" s="1285">
        <v>25600</v>
      </c>
      <c r="I15" s="1149" t="s">
        <v>88</v>
      </c>
      <c r="J15" s="1149">
        <v>6</v>
      </c>
      <c r="K15" s="1150">
        <v>1</v>
      </c>
      <c r="L15" s="1086"/>
      <c r="M15" s="789">
        <v>0</v>
      </c>
      <c r="N15" s="1215">
        <v>0</v>
      </c>
      <c r="O15" s="1216">
        <f>IF(K15="","",K15*50)</f>
        <v>50</v>
      </c>
      <c r="P15" s="1096">
        <f>SUM(M15:O15)</f>
        <v>50</v>
      </c>
      <c r="Q15" s="1095">
        <v>0</v>
      </c>
      <c r="R15" s="378">
        <f>IF(K15="","",(1659*K15-P15)*AE15)</f>
        <v>65360.838734177218</v>
      </c>
      <c r="S15" s="378">
        <f>IF(K15="","",P15*AF15+AD15*(AH15+AI15*(1-AJ15)))</f>
        <v>2031.1012658227851</v>
      </c>
      <c r="T15" s="379">
        <f>ROUND(IF(K15="",0,+Q15/1659*(AB15*12*(1+tab!E$79+tab!E$80)-tab!E$78)*tab!E$76),-1)</f>
        <v>0</v>
      </c>
      <c r="U15" s="1111">
        <f>IF(K15="","",IF(E15=0,0,(R15+S15+T15)))</f>
        <v>67391.94</v>
      </c>
      <c r="V15" s="362"/>
      <c r="W15" s="25"/>
      <c r="AB15" s="1105">
        <f>IF(I15="","",VLOOKUP(I15,sal2018juni,J15+1,FALSE)*5/12+VLOOKUP(I15,sal2019jan,J15+1,FALSE)*5/12+VLOOKUP(I15,sal2019juni,J15+1,FALSE)*2/12)</f>
        <v>3646.75</v>
      </c>
      <c r="AC15" s="1144">
        <f>AC$13</f>
        <v>0.54</v>
      </c>
      <c r="AD15" s="1104">
        <f>AB15*12/1659</f>
        <v>26.377938517179025</v>
      </c>
      <c r="AE15" s="1104">
        <f>AB15*12*(1+AC15)/1659</f>
        <v>40.622025316455698</v>
      </c>
      <c r="AF15" s="1104">
        <f>+AE15-AD15</f>
        <v>14.244086799276673</v>
      </c>
      <c r="AG15" s="14">
        <f>Q15</f>
        <v>0</v>
      </c>
      <c r="AH15" s="1106">
        <f>O15</f>
        <v>50</v>
      </c>
      <c r="AI15" s="14">
        <f>(M15+N15)</f>
        <v>0</v>
      </c>
      <c r="AJ15" s="1107">
        <f>IF(I15&gt;8,50%,40%)</f>
        <v>0.5</v>
      </c>
      <c r="AK15" s="6">
        <f>IF(G15&lt;25,0,IF(G15=25,25,IF(G15&lt;40,0,IF(G15=40,40,IF(G15&gt;=40,0)))))</f>
        <v>0</v>
      </c>
      <c r="AL15" s="1108">
        <f>IF(AK15=25,AB15*1.08*K15/2,IF(AK15=40,AB15*1.08*K15,0))</f>
        <v>0</v>
      </c>
      <c r="AT15" s="266" t="s">
        <v>79</v>
      </c>
    </row>
    <row r="16" spans="2:46" ht="12.75" hidden="1" customHeight="1" x14ac:dyDescent="0.2">
      <c r="B16" s="21"/>
      <c r="C16" s="34"/>
      <c r="D16" s="95"/>
      <c r="E16" s="150"/>
      <c r="F16" s="509"/>
      <c r="G16" s="151"/>
      <c r="H16" s="1286"/>
      <c r="I16" s="1149"/>
      <c r="J16" s="151"/>
      <c r="K16" s="1287"/>
      <c r="L16" s="1086"/>
      <c r="M16" s="789">
        <v>0</v>
      </c>
      <c r="N16" s="1215">
        <v>0</v>
      </c>
      <c r="O16" s="1216" t="str">
        <f t="shared" ref="O16:O34" si="0">IF(K16="","",K16*50)</f>
        <v/>
      </c>
      <c r="P16" s="1096">
        <f t="shared" ref="P16:P34" si="1">SUM(M16:O16)</f>
        <v>0</v>
      </c>
      <c r="Q16" s="1095">
        <v>0</v>
      </c>
      <c r="R16" s="378" t="str">
        <f t="shared" ref="R16:R34" si="2">IF(K16="","",(1659*K16-P16)*AE16)</f>
        <v/>
      </c>
      <c r="S16" s="378" t="str">
        <f t="shared" ref="S16:S34" si="3">IF(K16="","",P16*AF16+AD16*(AH16+AI16*(1-AJ16)))</f>
        <v/>
      </c>
      <c r="T16" s="379">
        <f>ROUND(IF(K16="",0,+Q16/1659*(AB16*12*(1+tab!E$79+tab!E$80)-tab!E$78)*tab!E$76),-1)</f>
        <v>0</v>
      </c>
      <c r="U16" s="1111" t="str">
        <f t="shared" ref="U16:U34" si="4">IF(K16="","",IF(E16=0,0,(R16+S16+T16)))</f>
        <v/>
      </c>
      <c r="V16" s="362"/>
      <c r="W16" s="25"/>
      <c r="AB16" s="1105" t="str">
        <f t="shared" ref="AB16:AB34" si="5">IF(I16="","",VLOOKUP(I16,sal2018juni,J16+1,FALSE)*5/12+VLOOKUP(I16,sal2019jan,J16+1,FALSE)*5/12+VLOOKUP(I16,sal2019juni,J16+1,FALSE)*2/12)</f>
        <v/>
      </c>
      <c r="AC16" s="1144">
        <f t="shared" ref="AC16:AC34" si="6">AC$13</f>
        <v>0.54</v>
      </c>
      <c r="AD16" s="1104" t="e">
        <f t="shared" ref="AD16:AD34" si="7">AB16*12/1659</f>
        <v>#VALUE!</v>
      </c>
      <c r="AE16" s="1104" t="e">
        <f t="shared" ref="AE16:AE34" si="8">AB16*12*(1+AC16)/1659</f>
        <v>#VALUE!</v>
      </c>
      <c r="AF16" s="1104" t="e">
        <f t="shared" ref="AF16:AF34" si="9">+AE16-AD16</f>
        <v>#VALUE!</v>
      </c>
      <c r="AG16" s="14">
        <f t="shared" ref="AG16:AG34" si="10">Q16</f>
        <v>0</v>
      </c>
      <c r="AH16" s="1106" t="str">
        <f t="shared" ref="AH16:AH34" si="11">O16</f>
        <v/>
      </c>
      <c r="AI16" s="14">
        <f t="shared" ref="AI16:AI34" si="12">(M16+N16)</f>
        <v>0</v>
      </c>
      <c r="AJ16" s="1107">
        <f t="shared" ref="AJ16:AJ34" si="13">IF(I16&gt;8,50%,40%)</f>
        <v>0.4</v>
      </c>
      <c r="AK16" s="6">
        <f t="shared" ref="AK16:AK34" si="14">IF(G16&lt;25,0,IF(G16=25,25,IF(G16&lt;40,0,IF(G16=40,40,IF(G16&gt;=40,0)))))</f>
        <v>0</v>
      </c>
      <c r="AL16" s="1108">
        <f t="shared" ref="AL16:AL34" si="15">IF(AK16=25,AB16*1.08*K16/2,IF(AK16=40,AB16*1.08*K16,0))</f>
        <v>0</v>
      </c>
      <c r="AT16" s="266" t="s">
        <v>80</v>
      </c>
    </row>
    <row r="17" spans="2:46" ht="12.75" hidden="1" customHeight="1" x14ac:dyDescent="0.2">
      <c r="B17" s="21"/>
      <c r="C17" s="34"/>
      <c r="D17" s="95"/>
      <c r="E17" s="150"/>
      <c r="F17" s="509"/>
      <c r="G17" s="151"/>
      <c r="H17" s="1286"/>
      <c r="I17" s="1149"/>
      <c r="J17" s="151"/>
      <c r="K17" s="1287"/>
      <c r="L17" s="1086"/>
      <c r="M17" s="789">
        <v>0</v>
      </c>
      <c r="N17" s="1215">
        <v>0</v>
      </c>
      <c r="O17" s="1216" t="str">
        <f t="shared" si="0"/>
        <v/>
      </c>
      <c r="P17" s="1096">
        <f t="shared" si="1"/>
        <v>0</v>
      </c>
      <c r="Q17" s="1095">
        <v>0</v>
      </c>
      <c r="R17" s="378" t="str">
        <f t="shared" si="2"/>
        <v/>
      </c>
      <c r="S17" s="378" t="str">
        <f t="shared" si="3"/>
        <v/>
      </c>
      <c r="T17" s="379">
        <f>ROUND(IF(K17="",0,+Q17/1659*(AB17*12*(1+tab!E$79+tab!E$80)-tab!E$78)*tab!E$76),-1)</f>
        <v>0</v>
      </c>
      <c r="U17" s="1111" t="str">
        <f t="shared" si="4"/>
        <v/>
      </c>
      <c r="V17" s="362"/>
      <c r="W17" s="25"/>
      <c r="AB17" s="1105" t="str">
        <f t="shared" si="5"/>
        <v/>
      </c>
      <c r="AC17" s="1144">
        <f t="shared" si="6"/>
        <v>0.54</v>
      </c>
      <c r="AD17" s="1104" t="e">
        <f t="shared" si="7"/>
        <v>#VALUE!</v>
      </c>
      <c r="AE17" s="1104" t="e">
        <f t="shared" si="8"/>
        <v>#VALUE!</v>
      </c>
      <c r="AF17" s="1104" t="e">
        <f t="shared" si="9"/>
        <v>#VALUE!</v>
      </c>
      <c r="AG17" s="14">
        <f t="shared" si="10"/>
        <v>0</v>
      </c>
      <c r="AH17" s="1106" t="str">
        <f t="shared" si="11"/>
        <v/>
      </c>
      <c r="AI17" s="14">
        <f t="shared" si="12"/>
        <v>0</v>
      </c>
      <c r="AJ17" s="1107">
        <f t="shared" si="13"/>
        <v>0.4</v>
      </c>
      <c r="AK17" s="6">
        <f t="shared" si="14"/>
        <v>0</v>
      </c>
      <c r="AL17" s="1108">
        <f t="shared" si="15"/>
        <v>0</v>
      </c>
      <c r="AT17" s="266" t="s">
        <v>81</v>
      </c>
    </row>
    <row r="18" spans="2:46" ht="12.75" hidden="1" customHeight="1" x14ac:dyDescent="0.2">
      <c r="B18" s="21"/>
      <c r="C18" s="34"/>
      <c r="D18" s="95"/>
      <c r="E18" s="150"/>
      <c r="F18" s="509"/>
      <c r="G18" s="151"/>
      <c r="H18" s="1286"/>
      <c r="I18" s="1149"/>
      <c r="J18" s="151"/>
      <c r="K18" s="1287"/>
      <c r="L18" s="1086"/>
      <c r="M18" s="789">
        <v>0</v>
      </c>
      <c r="N18" s="1215">
        <v>0</v>
      </c>
      <c r="O18" s="1216" t="str">
        <f t="shared" si="0"/>
        <v/>
      </c>
      <c r="P18" s="1096">
        <f t="shared" si="1"/>
        <v>0</v>
      </c>
      <c r="Q18" s="1095">
        <v>0</v>
      </c>
      <c r="R18" s="378" t="str">
        <f t="shared" si="2"/>
        <v/>
      </c>
      <c r="S18" s="378" t="str">
        <f t="shared" si="3"/>
        <v/>
      </c>
      <c r="T18" s="379">
        <f>ROUND(IF(K18="",0,+Q18/1659*(AB18*12*(1+tab!E$79+tab!E$80)-tab!E$78)*tab!E$76),-1)</f>
        <v>0</v>
      </c>
      <c r="U18" s="1111" t="str">
        <f t="shared" si="4"/>
        <v/>
      </c>
      <c r="V18" s="362"/>
      <c r="W18" s="25"/>
      <c r="AB18" s="1105" t="str">
        <f t="shared" si="5"/>
        <v/>
      </c>
      <c r="AC18" s="1144">
        <f t="shared" si="6"/>
        <v>0.54</v>
      </c>
      <c r="AD18" s="1104" t="e">
        <f t="shared" si="7"/>
        <v>#VALUE!</v>
      </c>
      <c r="AE18" s="1104" t="e">
        <f t="shared" si="8"/>
        <v>#VALUE!</v>
      </c>
      <c r="AF18" s="1104" t="e">
        <f t="shared" si="9"/>
        <v>#VALUE!</v>
      </c>
      <c r="AG18" s="14">
        <f t="shared" si="10"/>
        <v>0</v>
      </c>
      <c r="AH18" s="1106" t="str">
        <f t="shared" si="11"/>
        <v/>
      </c>
      <c r="AI18" s="14">
        <f t="shared" si="12"/>
        <v>0</v>
      </c>
      <c r="AJ18" s="1107">
        <f t="shared" si="13"/>
        <v>0.4</v>
      </c>
      <c r="AK18" s="6">
        <f t="shared" si="14"/>
        <v>0</v>
      </c>
      <c r="AL18" s="1108">
        <f t="shared" si="15"/>
        <v>0</v>
      </c>
      <c r="AT18" s="266" t="s">
        <v>82</v>
      </c>
    </row>
    <row r="19" spans="2:46" ht="12.75" hidden="1" customHeight="1" x14ac:dyDescent="0.2">
      <c r="B19" s="21"/>
      <c r="C19" s="34"/>
      <c r="D19" s="95"/>
      <c r="E19" s="150"/>
      <c r="F19" s="509"/>
      <c r="G19" s="151"/>
      <c r="H19" s="1286"/>
      <c r="I19" s="1149"/>
      <c r="J19" s="151"/>
      <c r="K19" s="1287"/>
      <c r="L19" s="1086"/>
      <c r="M19" s="789">
        <v>0</v>
      </c>
      <c r="N19" s="1215">
        <v>0</v>
      </c>
      <c r="O19" s="1216" t="str">
        <f t="shared" si="0"/>
        <v/>
      </c>
      <c r="P19" s="1096">
        <f t="shared" si="1"/>
        <v>0</v>
      </c>
      <c r="Q19" s="1095">
        <v>0</v>
      </c>
      <c r="R19" s="378" t="str">
        <f t="shared" si="2"/>
        <v/>
      </c>
      <c r="S19" s="378" t="str">
        <f t="shared" si="3"/>
        <v/>
      </c>
      <c r="T19" s="379">
        <f>ROUND(IF(K19="",0,+Q19/1659*(AB19*12*(1+tab!E$79+tab!E$80)-tab!E$78)*tab!E$76),-1)</f>
        <v>0</v>
      </c>
      <c r="U19" s="1111" t="str">
        <f t="shared" si="4"/>
        <v/>
      </c>
      <c r="V19" s="362"/>
      <c r="W19" s="25"/>
      <c r="AB19" s="1105" t="str">
        <f t="shared" si="5"/>
        <v/>
      </c>
      <c r="AC19" s="1144">
        <f t="shared" si="6"/>
        <v>0.54</v>
      </c>
      <c r="AD19" s="1104" t="e">
        <f t="shared" si="7"/>
        <v>#VALUE!</v>
      </c>
      <c r="AE19" s="1104" t="e">
        <f t="shared" si="8"/>
        <v>#VALUE!</v>
      </c>
      <c r="AF19" s="1104" t="e">
        <f t="shared" si="9"/>
        <v>#VALUE!</v>
      </c>
      <c r="AG19" s="14">
        <f t="shared" si="10"/>
        <v>0</v>
      </c>
      <c r="AH19" s="1106" t="str">
        <f t="shared" si="11"/>
        <v/>
      </c>
      <c r="AI19" s="14">
        <f t="shared" si="12"/>
        <v>0</v>
      </c>
      <c r="AJ19" s="1107">
        <f t="shared" si="13"/>
        <v>0.4</v>
      </c>
      <c r="AK19" s="6">
        <f t="shared" si="14"/>
        <v>0</v>
      </c>
      <c r="AL19" s="1108">
        <f t="shared" si="15"/>
        <v>0</v>
      </c>
      <c r="AT19" s="266" t="s">
        <v>83</v>
      </c>
    </row>
    <row r="20" spans="2:46" ht="12.75" hidden="1" customHeight="1" x14ac:dyDescent="0.2">
      <c r="B20" s="21"/>
      <c r="C20" s="34"/>
      <c r="D20" s="95"/>
      <c r="E20" s="150"/>
      <c r="F20" s="509"/>
      <c r="G20" s="151"/>
      <c r="H20" s="1286"/>
      <c r="I20" s="1149"/>
      <c r="J20" s="151"/>
      <c r="K20" s="1287"/>
      <c r="L20" s="1086"/>
      <c r="M20" s="789">
        <v>0</v>
      </c>
      <c r="N20" s="1215">
        <v>0</v>
      </c>
      <c r="O20" s="1216" t="str">
        <f t="shared" si="0"/>
        <v/>
      </c>
      <c r="P20" s="1096">
        <f t="shared" si="1"/>
        <v>0</v>
      </c>
      <c r="Q20" s="1095">
        <v>0</v>
      </c>
      <c r="R20" s="378" t="str">
        <f t="shared" si="2"/>
        <v/>
      </c>
      <c r="S20" s="378" t="str">
        <f t="shared" si="3"/>
        <v/>
      </c>
      <c r="T20" s="379">
        <f>ROUND(IF(K20="",0,+Q20/1659*(AB20*12*(1+tab!E$79+tab!E$80)-tab!E$78)*tab!E$76),-1)</f>
        <v>0</v>
      </c>
      <c r="U20" s="1111" t="str">
        <f t="shared" si="4"/>
        <v/>
      </c>
      <c r="V20" s="362"/>
      <c r="W20" s="25"/>
      <c r="AB20" s="1105" t="str">
        <f t="shared" si="5"/>
        <v/>
      </c>
      <c r="AC20" s="1144">
        <f t="shared" si="6"/>
        <v>0.54</v>
      </c>
      <c r="AD20" s="1104" t="e">
        <f t="shared" si="7"/>
        <v>#VALUE!</v>
      </c>
      <c r="AE20" s="1104" t="e">
        <f t="shared" si="8"/>
        <v>#VALUE!</v>
      </c>
      <c r="AF20" s="1104" t="e">
        <f t="shared" si="9"/>
        <v>#VALUE!</v>
      </c>
      <c r="AG20" s="14">
        <f t="shared" si="10"/>
        <v>0</v>
      </c>
      <c r="AH20" s="1106" t="str">
        <f t="shared" si="11"/>
        <v/>
      </c>
      <c r="AI20" s="14">
        <f t="shared" si="12"/>
        <v>0</v>
      </c>
      <c r="AJ20" s="1107">
        <f t="shared" si="13"/>
        <v>0.4</v>
      </c>
      <c r="AK20" s="6">
        <f t="shared" si="14"/>
        <v>0</v>
      </c>
      <c r="AL20" s="1108">
        <f t="shared" si="15"/>
        <v>0</v>
      </c>
      <c r="AT20" s="266" t="s">
        <v>84</v>
      </c>
    </row>
    <row r="21" spans="2:46" ht="12.75" hidden="1" customHeight="1" x14ac:dyDescent="0.2">
      <c r="B21" s="21"/>
      <c r="C21" s="34"/>
      <c r="D21" s="95"/>
      <c r="E21" s="150"/>
      <c r="F21" s="509"/>
      <c r="G21" s="151"/>
      <c r="H21" s="1286"/>
      <c r="I21" s="1149"/>
      <c r="J21" s="151"/>
      <c r="K21" s="1287"/>
      <c r="L21" s="1086"/>
      <c r="M21" s="789">
        <v>0</v>
      </c>
      <c r="N21" s="1215">
        <v>0</v>
      </c>
      <c r="O21" s="1216" t="str">
        <f t="shared" si="0"/>
        <v/>
      </c>
      <c r="P21" s="1096">
        <f t="shared" si="1"/>
        <v>0</v>
      </c>
      <c r="Q21" s="1095">
        <v>0</v>
      </c>
      <c r="R21" s="378" t="str">
        <f t="shared" si="2"/>
        <v/>
      </c>
      <c r="S21" s="378" t="str">
        <f t="shared" si="3"/>
        <v/>
      </c>
      <c r="T21" s="379">
        <f>ROUND(IF(K21="",0,+Q21/1659*(AB21*12*(1+tab!E$79+tab!E$80)-tab!E$78)*tab!E$76),-1)</f>
        <v>0</v>
      </c>
      <c r="U21" s="1111" t="str">
        <f t="shared" si="4"/>
        <v/>
      </c>
      <c r="V21" s="362"/>
      <c r="W21" s="25"/>
      <c r="AB21" s="1105" t="str">
        <f t="shared" si="5"/>
        <v/>
      </c>
      <c r="AC21" s="1144">
        <f t="shared" si="6"/>
        <v>0.54</v>
      </c>
      <c r="AD21" s="1104" t="e">
        <f t="shared" si="7"/>
        <v>#VALUE!</v>
      </c>
      <c r="AE21" s="1104" t="e">
        <f t="shared" si="8"/>
        <v>#VALUE!</v>
      </c>
      <c r="AF21" s="1104" t="e">
        <f t="shared" si="9"/>
        <v>#VALUE!</v>
      </c>
      <c r="AG21" s="14">
        <f t="shared" si="10"/>
        <v>0</v>
      </c>
      <c r="AH21" s="1106" t="str">
        <f t="shared" si="11"/>
        <v/>
      </c>
      <c r="AI21" s="14">
        <f t="shared" si="12"/>
        <v>0</v>
      </c>
      <c r="AJ21" s="1107">
        <f t="shared" si="13"/>
        <v>0.4</v>
      </c>
      <c r="AK21" s="6">
        <f t="shared" si="14"/>
        <v>0</v>
      </c>
      <c r="AL21" s="1108">
        <f t="shared" si="15"/>
        <v>0</v>
      </c>
      <c r="AT21" s="266" t="s">
        <v>85</v>
      </c>
    </row>
    <row r="22" spans="2:46" ht="12.75" hidden="1" customHeight="1" x14ac:dyDescent="0.2">
      <c r="B22" s="21"/>
      <c r="C22" s="34"/>
      <c r="D22" s="95"/>
      <c r="E22" s="1148"/>
      <c r="F22" s="509"/>
      <c r="G22" s="151"/>
      <c r="H22" s="1286"/>
      <c r="I22" s="1149"/>
      <c r="J22" s="151"/>
      <c r="K22" s="1287"/>
      <c r="L22" s="1086"/>
      <c r="M22" s="789">
        <v>0</v>
      </c>
      <c r="N22" s="1215">
        <v>0</v>
      </c>
      <c r="O22" s="1216" t="str">
        <f t="shared" si="0"/>
        <v/>
      </c>
      <c r="P22" s="1096">
        <f t="shared" si="1"/>
        <v>0</v>
      </c>
      <c r="Q22" s="1095">
        <v>0</v>
      </c>
      <c r="R22" s="378" t="str">
        <f t="shared" si="2"/>
        <v/>
      </c>
      <c r="S22" s="378" t="str">
        <f t="shared" si="3"/>
        <v/>
      </c>
      <c r="T22" s="379">
        <f>ROUND(IF(K22="",0,+Q22/1659*(AB22*12*(1+tab!E$79+tab!E$80)-tab!E$78)*tab!E$76),-1)</f>
        <v>0</v>
      </c>
      <c r="U22" s="1111" t="str">
        <f t="shared" si="4"/>
        <v/>
      </c>
      <c r="V22" s="362"/>
      <c r="W22" s="25"/>
      <c r="AB22" s="1105" t="str">
        <f t="shared" si="5"/>
        <v/>
      </c>
      <c r="AC22" s="1144">
        <f t="shared" si="6"/>
        <v>0.54</v>
      </c>
      <c r="AD22" s="1104" t="e">
        <f t="shared" si="7"/>
        <v>#VALUE!</v>
      </c>
      <c r="AE22" s="1104" t="e">
        <f t="shared" si="8"/>
        <v>#VALUE!</v>
      </c>
      <c r="AF22" s="1104" t="e">
        <f t="shared" si="9"/>
        <v>#VALUE!</v>
      </c>
      <c r="AG22" s="14">
        <f t="shared" si="10"/>
        <v>0</v>
      </c>
      <c r="AH22" s="1106" t="str">
        <f t="shared" si="11"/>
        <v/>
      </c>
      <c r="AI22" s="14">
        <f t="shared" si="12"/>
        <v>0</v>
      </c>
      <c r="AJ22" s="1107">
        <f t="shared" si="13"/>
        <v>0.4</v>
      </c>
      <c r="AK22" s="6">
        <f t="shared" si="14"/>
        <v>0</v>
      </c>
      <c r="AL22" s="1108">
        <f t="shared" si="15"/>
        <v>0</v>
      </c>
      <c r="AT22" s="267">
        <v>11</v>
      </c>
    </row>
    <row r="23" spans="2:46" ht="12.75" hidden="1" customHeight="1" x14ac:dyDescent="0.2">
      <c r="B23" s="21"/>
      <c r="C23" s="34"/>
      <c r="D23" s="95"/>
      <c r="E23" s="150"/>
      <c r="F23" s="509"/>
      <c r="G23" s="151"/>
      <c r="H23" s="1286"/>
      <c r="I23" s="1149"/>
      <c r="J23" s="151"/>
      <c r="K23" s="1287"/>
      <c r="L23" s="1086"/>
      <c r="M23" s="789">
        <v>0</v>
      </c>
      <c r="N23" s="1215">
        <v>0</v>
      </c>
      <c r="O23" s="1216" t="str">
        <f t="shared" si="0"/>
        <v/>
      </c>
      <c r="P23" s="1096">
        <f t="shared" si="1"/>
        <v>0</v>
      </c>
      <c r="Q23" s="1095">
        <v>0</v>
      </c>
      <c r="R23" s="378" t="str">
        <f t="shared" si="2"/>
        <v/>
      </c>
      <c r="S23" s="378" t="str">
        <f t="shared" si="3"/>
        <v/>
      </c>
      <c r="T23" s="379">
        <f>ROUND(IF(K23="",0,+Q23/1659*(AB23*12*(1+tab!E$79+tab!E$80)-tab!E$78)*tab!E$76),-1)</f>
        <v>0</v>
      </c>
      <c r="U23" s="1111" t="str">
        <f t="shared" si="4"/>
        <v/>
      </c>
      <c r="V23" s="362"/>
      <c r="W23" s="25"/>
      <c r="AB23" s="1105" t="str">
        <f t="shared" si="5"/>
        <v/>
      </c>
      <c r="AC23" s="1144">
        <f t="shared" si="6"/>
        <v>0.54</v>
      </c>
      <c r="AD23" s="1104" t="e">
        <f t="shared" si="7"/>
        <v>#VALUE!</v>
      </c>
      <c r="AE23" s="1104" t="e">
        <f t="shared" si="8"/>
        <v>#VALUE!</v>
      </c>
      <c r="AF23" s="1104" t="e">
        <f t="shared" si="9"/>
        <v>#VALUE!</v>
      </c>
      <c r="AG23" s="14">
        <f t="shared" si="10"/>
        <v>0</v>
      </c>
      <c r="AH23" s="1106" t="str">
        <f t="shared" si="11"/>
        <v/>
      </c>
      <c r="AI23" s="14">
        <f t="shared" si="12"/>
        <v>0</v>
      </c>
      <c r="AJ23" s="1107">
        <f t="shared" si="13"/>
        <v>0.4</v>
      </c>
      <c r="AK23" s="6">
        <f t="shared" si="14"/>
        <v>0</v>
      </c>
      <c r="AL23" s="1108">
        <f t="shared" si="15"/>
        <v>0</v>
      </c>
      <c r="AT23" s="267">
        <v>12</v>
      </c>
    </row>
    <row r="24" spans="2:46" ht="12.75" hidden="1" customHeight="1" x14ac:dyDescent="0.2">
      <c r="B24" s="21"/>
      <c r="C24" s="34"/>
      <c r="D24" s="95"/>
      <c r="E24" s="150"/>
      <c r="F24" s="150"/>
      <c r="G24" s="42"/>
      <c r="H24" s="376"/>
      <c r="I24" s="1149"/>
      <c r="J24" s="42"/>
      <c r="K24" s="377"/>
      <c r="L24" s="1086"/>
      <c r="M24" s="789">
        <v>0</v>
      </c>
      <c r="N24" s="1215">
        <v>0</v>
      </c>
      <c r="O24" s="1216" t="str">
        <f t="shared" si="0"/>
        <v/>
      </c>
      <c r="P24" s="1096">
        <f t="shared" si="1"/>
        <v>0</v>
      </c>
      <c r="Q24" s="1095">
        <v>0</v>
      </c>
      <c r="R24" s="378" t="str">
        <f t="shared" si="2"/>
        <v/>
      </c>
      <c r="S24" s="378" t="str">
        <f t="shared" si="3"/>
        <v/>
      </c>
      <c r="T24" s="379">
        <f>ROUND(IF(K24="",0,+Q24/1659*(AB24*12*(1+tab!E$79+tab!E$80)-tab!E$78)*tab!E$76),-1)</f>
        <v>0</v>
      </c>
      <c r="U24" s="1111" t="str">
        <f t="shared" si="4"/>
        <v/>
      </c>
      <c r="V24" s="362"/>
      <c r="W24" s="25"/>
      <c r="AB24" s="1105" t="str">
        <f t="shared" si="5"/>
        <v/>
      </c>
      <c r="AC24" s="1144">
        <f t="shared" si="6"/>
        <v>0.54</v>
      </c>
      <c r="AD24" s="1104" t="e">
        <f t="shared" si="7"/>
        <v>#VALUE!</v>
      </c>
      <c r="AE24" s="1104" t="e">
        <f t="shared" si="8"/>
        <v>#VALUE!</v>
      </c>
      <c r="AF24" s="1104" t="e">
        <f t="shared" si="9"/>
        <v>#VALUE!</v>
      </c>
      <c r="AG24" s="14">
        <f t="shared" si="10"/>
        <v>0</v>
      </c>
      <c r="AH24" s="1106" t="str">
        <f t="shared" si="11"/>
        <v/>
      </c>
      <c r="AI24" s="14">
        <f t="shared" si="12"/>
        <v>0</v>
      </c>
      <c r="AJ24" s="1107">
        <f t="shared" si="13"/>
        <v>0.4</v>
      </c>
      <c r="AK24" s="6">
        <f t="shared" si="14"/>
        <v>0</v>
      </c>
      <c r="AL24" s="1108">
        <f t="shared" si="15"/>
        <v>0</v>
      </c>
      <c r="AT24" s="267">
        <v>13</v>
      </c>
    </row>
    <row r="25" spans="2:46" ht="12.75" hidden="1" customHeight="1" x14ac:dyDescent="0.2">
      <c r="B25" s="21"/>
      <c r="C25" s="34"/>
      <c r="D25" s="95"/>
      <c r="E25" s="150"/>
      <c r="F25" s="150"/>
      <c r="G25" s="42"/>
      <c r="H25" s="376"/>
      <c r="I25" s="1149"/>
      <c r="J25" s="42"/>
      <c r="K25" s="377"/>
      <c r="L25" s="1086"/>
      <c r="M25" s="789">
        <v>0</v>
      </c>
      <c r="N25" s="1215">
        <v>0</v>
      </c>
      <c r="O25" s="1216" t="str">
        <f t="shared" si="0"/>
        <v/>
      </c>
      <c r="P25" s="1096">
        <f t="shared" si="1"/>
        <v>0</v>
      </c>
      <c r="Q25" s="1095">
        <v>0</v>
      </c>
      <c r="R25" s="378" t="str">
        <f t="shared" si="2"/>
        <v/>
      </c>
      <c r="S25" s="378" t="str">
        <f t="shared" si="3"/>
        <v/>
      </c>
      <c r="T25" s="379">
        <f>ROUND(IF(K25="",0,+Q25/1659*(AB25*12*(1+tab!E$79+tab!E$80)-tab!E$78)*tab!E$76),-1)</f>
        <v>0</v>
      </c>
      <c r="U25" s="1111" t="str">
        <f t="shared" si="4"/>
        <v/>
      </c>
      <c r="V25" s="362"/>
      <c r="W25" s="25"/>
      <c r="AB25" s="1105" t="str">
        <f t="shared" si="5"/>
        <v/>
      </c>
      <c r="AC25" s="1144">
        <f t="shared" si="6"/>
        <v>0.54</v>
      </c>
      <c r="AD25" s="1104" t="e">
        <f t="shared" si="7"/>
        <v>#VALUE!</v>
      </c>
      <c r="AE25" s="1104" t="e">
        <f t="shared" si="8"/>
        <v>#VALUE!</v>
      </c>
      <c r="AF25" s="1104" t="e">
        <f t="shared" si="9"/>
        <v>#VALUE!</v>
      </c>
      <c r="AG25" s="14">
        <f t="shared" si="10"/>
        <v>0</v>
      </c>
      <c r="AH25" s="1106" t="str">
        <f t="shared" si="11"/>
        <v/>
      </c>
      <c r="AI25" s="14">
        <f t="shared" si="12"/>
        <v>0</v>
      </c>
      <c r="AJ25" s="1107">
        <f t="shared" si="13"/>
        <v>0.4</v>
      </c>
      <c r="AK25" s="6">
        <f t="shared" si="14"/>
        <v>0</v>
      </c>
      <c r="AL25" s="1108">
        <f t="shared" si="15"/>
        <v>0</v>
      </c>
      <c r="AT25" s="267">
        <v>14</v>
      </c>
    </row>
    <row r="26" spans="2:46" ht="12.75" hidden="1" customHeight="1" x14ac:dyDescent="0.2">
      <c r="B26" s="21"/>
      <c r="C26" s="34"/>
      <c r="D26" s="95"/>
      <c r="E26" s="150"/>
      <c r="F26" s="150"/>
      <c r="G26" s="42"/>
      <c r="H26" s="376"/>
      <c r="I26" s="1149"/>
      <c r="J26" s="42"/>
      <c r="K26" s="377"/>
      <c r="L26" s="1086"/>
      <c r="M26" s="789">
        <v>0</v>
      </c>
      <c r="N26" s="1215">
        <v>0</v>
      </c>
      <c r="O26" s="1216" t="str">
        <f t="shared" si="0"/>
        <v/>
      </c>
      <c r="P26" s="1096">
        <f t="shared" si="1"/>
        <v>0</v>
      </c>
      <c r="Q26" s="1095">
        <v>0</v>
      </c>
      <c r="R26" s="378" t="str">
        <f t="shared" si="2"/>
        <v/>
      </c>
      <c r="S26" s="378" t="str">
        <f t="shared" si="3"/>
        <v/>
      </c>
      <c r="T26" s="379">
        <f>ROUND(IF(K26="",0,+Q26/1659*(AB26*12*(1+tab!E$79+tab!E$80)-tab!E$78)*tab!E$76),-1)</f>
        <v>0</v>
      </c>
      <c r="U26" s="1111" t="str">
        <f t="shared" si="4"/>
        <v/>
      </c>
      <c r="V26" s="362"/>
      <c r="W26" s="25"/>
      <c r="AB26" s="1105" t="str">
        <f t="shared" si="5"/>
        <v/>
      </c>
      <c r="AC26" s="1144">
        <f t="shared" si="6"/>
        <v>0.54</v>
      </c>
      <c r="AD26" s="1104" t="e">
        <f t="shared" si="7"/>
        <v>#VALUE!</v>
      </c>
      <c r="AE26" s="1104" t="e">
        <f t="shared" si="8"/>
        <v>#VALUE!</v>
      </c>
      <c r="AF26" s="1104" t="e">
        <f t="shared" si="9"/>
        <v>#VALUE!</v>
      </c>
      <c r="AG26" s="14">
        <f t="shared" si="10"/>
        <v>0</v>
      </c>
      <c r="AH26" s="1106" t="str">
        <f t="shared" si="11"/>
        <v/>
      </c>
      <c r="AI26" s="14">
        <f t="shared" si="12"/>
        <v>0</v>
      </c>
      <c r="AJ26" s="1107">
        <f t="shared" si="13"/>
        <v>0.4</v>
      </c>
      <c r="AK26" s="6">
        <f t="shared" si="14"/>
        <v>0</v>
      </c>
      <c r="AL26" s="1108">
        <f t="shared" si="15"/>
        <v>0</v>
      </c>
      <c r="AT26" s="267" t="s">
        <v>90</v>
      </c>
    </row>
    <row r="27" spans="2:46" ht="12.75" hidden="1" customHeight="1" x14ac:dyDescent="0.2">
      <c r="B27" s="21"/>
      <c r="C27" s="34"/>
      <c r="D27" s="95"/>
      <c r="E27" s="150"/>
      <c r="F27" s="150"/>
      <c r="G27" s="42"/>
      <c r="H27" s="376"/>
      <c r="I27" s="1149"/>
      <c r="J27" s="42"/>
      <c r="K27" s="377"/>
      <c r="L27" s="1086"/>
      <c r="M27" s="789">
        <v>0</v>
      </c>
      <c r="N27" s="1215">
        <v>0</v>
      </c>
      <c r="O27" s="1216" t="str">
        <f t="shared" si="0"/>
        <v/>
      </c>
      <c r="P27" s="1096">
        <f t="shared" si="1"/>
        <v>0</v>
      </c>
      <c r="Q27" s="1095">
        <v>0</v>
      </c>
      <c r="R27" s="378" t="str">
        <f t="shared" si="2"/>
        <v/>
      </c>
      <c r="S27" s="378" t="str">
        <f t="shared" si="3"/>
        <v/>
      </c>
      <c r="T27" s="379">
        <f>ROUND(IF(K27="",0,+Q27/1659*(AB27*12*(1+tab!E$79+tab!E$80)-tab!E$78)*tab!E$76),-1)</f>
        <v>0</v>
      </c>
      <c r="U27" s="1111" t="str">
        <f t="shared" si="4"/>
        <v/>
      </c>
      <c r="V27" s="362"/>
      <c r="W27" s="25"/>
      <c r="AB27" s="1105" t="str">
        <f t="shared" si="5"/>
        <v/>
      </c>
      <c r="AC27" s="1144">
        <f t="shared" si="6"/>
        <v>0.54</v>
      </c>
      <c r="AD27" s="1104" t="e">
        <f t="shared" si="7"/>
        <v>#VALUE!</v>
      </c>
      <c r="AE27" s="1104" t="e">
        <f t="shared" si="8"/>
        <v>#VALUE!</v>
      </c>
      <c r="AF27" s="1104" t="e">
        <f t="shared" si="9"/>
        <v>#VALUE!</v>
      </c>
      <c r="AG27" s="14">
        <f t="shared" si="10"/>
        <v>0</v>
      </c>
      <c r="AH27" s="1106" t="str">
        <f t="shared" si="11"/>
        <v/>
      </c>
      <c r="AI27" s="14">
        <f t="shared" si="12"/>
        <v>0</v>
      </c>
      <c r="AJ27" s="1107">
        <f t="shared" si="13"/>
        <v>0.4</v>
      </c>
      <c r="AK27" s="6">
        <f t="shared" si="14"/>
        <v>0</v>
      </c>
      <c r="AL27" s="1108">
        <f t="shared" si="15"/>
        <v>0</v>
      </c>
      <c r="AT27" s="267"/>
    </row>
    <row r="28" spans="2:46" ht="12.75" hidden="1" customHeight="1" x14ac:dyDescent="0.2">
      <c r="B28" s="21"/>
      <c r="C28" s="34"/>
      <c r="D28" s="95"/>
      <c r="E28" s="150"/>
      <c r="F28" s="150"/>
      <c r="G28" s="42"/>
      <c r="H28" s="376"/>
      <c r="I28" s="1149"/>
      <c r="J28" s="42"/>
      <c r="K28" s="377"/>
      <c r="L28" s="1086"/>
      <c r="M28" s="789">
        <v>0</v>
      </c>
      <c r="N28" s="1215">
        <v>0</v>
      </c>
      <c r="O28" s="1216" t="str">
        <f t="shared" si="0"/>
        <v/>
      </c>
      <c r="P28" s="1096">
        <f t="shared" si="1"/>
        <v>0</v>
      </c>
      <c r="Q28" s="1095">
        <v>0</v>
      </c>
      <c r="R28" s="378" t="str">
        <f t="shared" si="2"/>
        <v/>
      </c>
      <c r="S28" s="378" t="str">
        <f t="shared" si="3"/>
        <v/>
      </c>
      <c r="T28" s="379">
        <f>ROUND(IF(K28="",0,+Q28/1659*(AB28*12*(1+tab!E$79+tab!E$80)-tab!E$78)*tab!E$76),-1)</f>
        <v>0</v>
      </c>
      <c r="U28" s="1111" t="str">
        <f t="shared" si="4"/>
        <v/>
      </c>
      <c r="V28" s="362"/>
      <c r="W28" s="25"/>
      <c r="AB28" s="1105" t="str">
        <f t="shared" si="5"/>
        <v/>
      </c>
      <c r="AC28" s="1144">
        <f t="shared" si="6"/>
        <v>0.54</v>
      </c>
      <c r="AD28" s="1104" t="e">
        <f t="shared" si="7"/>
        <v>#VALUE!</v>
      </c>
      <c r="AE28" s="1104" t="e">
        <f t="shared" si="8"/>
        <v>#VALUE!</v>
      </c>
      <c r="AF28" s="1104" t="e">
        <f t="shared" si="9"/>
        <v>#VALUE!</v>
      </c>
      <c r="AG28" s="14">
        <f t="shared" si="10"/>
        <v>0</v>
      </c>
      <c r="AH28" s="1106" t="str">
        <f t="shared" si="11"/>
        <v/>
      </c>
      <c r="AI28" s="14">
        <f t="shared" si="12"/>
        <v>0</v>
      </c>
      <c r="AJ28" s="1107">
        <f t="shared" si="13"/>
        <v>0.4</v>
      </c>
      <c r="AK28" s="6">
        <f t="shared" si="14"/>
        <v>0</v>
      </c>
      <c r="AL28" s="1108">
        <f t="shared" si="15"/>
        <v>0</v>
      </c>
      <c r="AT28" s="267"/>
    </row>
    <row r="29" spans="2:46" ht="12.75" hidden="1" customHeight="1" x14ac:dyDescent="0.2">
      <c r="B29" s="21"/>
      <c r="C29" s="34"/>
      <c r="D29" s="95"/>
      <c r="E29" s="150"/>
      <c r="F29" s="150"/>
      <c r="G29" s="42"/>
      <c r="H29" s="376"/>
      <c r="I29" s="1149"/>
      <c r="J29" s="42"/>
      <c r="K29" s="377"/>
      <c r="L29" s="1086"/>
      <c r="M29" s="789">
        <v>0</v>
      </c>
      <c r="N29" s="1215">
        <v>0</v>
      </c>
      <c r="O29" s="1216" t="str">
        <f t="shared" si="0"/>
        <v/>
      </c>
      <c r="P29" s="1096">
        <f t="shared" si="1"/>
        <v>0</v>
      </c>
      <c r="Q29" s="1095">
        <v>0</v>
      </c>
      <c r="R29" s="378" t="str">
        <f t="shared" si="2"/>
        <v/>
      </c>
      <c r="S29" s="378" t="str">
        <f t="shared" si="3"/>
        <v/>
      </c>
      <c r="T29" s="379">
        <f>ROUND(IF(K29="",0,+Q29/1659*(AB29*12*(1+tab!E$79+tab!E$80)-tab!E$78)*tab!E$76),-1)</f>
        <v>0</v>
      </c>
      <c r="U29" s="1111" t="str">
        <f t="shared" si="4"/>
        <v/>
      </c>
      <c r="V29" s="362"/>
      <c r="W29" s="25"/>
      <c r="AB29" s="1105" t="str">
        <f t="shared" si="5"/>
        <v/>
      </c>
      <c r="AC29" s="1144">
        <f t="shared" si="6"/>
        <v>0.54</v>
      </c>
      <c r="AD29" s="1104" t="e">
        <f t="shared" si="7"/>
        <v>#VALUE!</v>
      </c>
      <c r="AE29" s="1104" t="e">
        <f t="shared" si="8"/>
        <v>#VALUE!</v>
      </c>
      <c r="AF29" s="1104" t="e">
        <f t="shared" si="9"/>
        <v>#VALUE!</v>
      </c>
      <c r="AG29" s="14">
        <f t="shared" si="10"/>
        <v>0</v>
      </c>
      <c r="AH29" s="1106" t="str">
        <f t="shared" si="11"/>
        <v/>
      </c>
      <c r="AI29" s="14">
        <f t="shared" si="12"/>
        <v>0</v>
      </c>
      <c r="AJ29" s="1107">
        <f t="shared" si="13"/>
        <v>0.4</v>
      </c>
      <c r="AK29" s="6">
        <f t="shared" si="14"/>
        <v>0</v>
      </c>
      <c r="AL29" s="1108">
        <f t="shared" si="15"/>
        <v>0</v>
      </c>
      <c r="AT29" s="267"/>
    </row>
    <row r="30" spans="2:46" ht="12.75" hidden="1" customHeight="1" x14ac:dyDescent="0.2">
      <c r="B30" s="21"/>
      <c r="C30" s="34"/>
      <c r="D30" s="95"/>
      <c r="E30" s="150"/>
      <c r="F30" s="150"/>
      <c r="G30" s="42"/>
      <c r="H30" s="376"/>
      <c r="I30" s="1149"/>
      <c r="J30" s="42"/>
      <c r="K30" s="377"/>
      <c r="L30" s="1086"/>
      <c r="M30" s="789">
        <v>0</v>
      </c>
      <c r="N30" s="1215">
        <v>0</v>
      </c>
      <c r="O30" s="1216" t="str">
        <f t="shared" si="0"/>
        <v/>
      </c>
      <c r="P30" s="1096">
        <f t="shared" si="1"/>
        <v>0</v>
      </c>
      <c r="Q30" s="1095">
        <v>0</v>
      </c>
      <c r="R30" s="378" t="str">
        <f t="shared" si="2"/>
        <v/>
      </c>
      <c r="S30" s="378" t="str">
        <f t="shared" si="3"/>
        <v/>
      </c>
      <c r="T30" s="379">
        <f>ROUND(IF(K30="",0,+Q30/1659*(AB30*12*(1+tab!E$79+tab!E$80)-tab!E$78)*tab!E$76),-1)</f>
        <v>0</v>
      </c>
      <c r="U30" s="1111" t="str">
        <f t="shared" si="4"/>
        <v/>
      </c>
      <c r="V30" s="362"/>
      <c r="W30" s="25"/>
      <c r="AB30" s="1105" t="str">
        <f t="shared" si="5"/>
        <v/>
      </c>
      <c r="AC30" s="1144">
        <f t="shared" si="6"/>
        <v>0.54</v>
      </c>
      <c r="AD30" s="1104" t="e">
        <f t="shared" si="7"/>
        <v>#VALUE!</v>
      </c>
      <c r="AE30" s="1104" t="e">
        <f t="shared" si="8"/>
        <v>#VALUE!</v>
      </c>
      <c r="AF30" s="1104" t="e">
        <f t="shared" si="9"/>
        <v>#VALUE!</v>
      </c>
      <c r="AG30" s="14">
        <f t="shared" si="10"/>
        <v>0</v>
      </c>
      <c r="AH30" s="1106" t="str">
        <f t="shared" si="11"/>
        <v/>
      </c>
      <c r="AI30" s="14">
        <f t="shared" si="12"/>
        <v>0</v>
      </c>
      <c r="AJ30" s="1107">
        <f t="shared" si="13"/>
        <v>0.4</v>
      </c>
      <c r="AK30" s="6">
        <f t="shared" si="14"/>
        <v>0</v>
      </c>
      <c r="AL30" s="1108">
        <f t="shared" si="15"/>
        <v>0</v>
      </c>
      <c r="AT30" s="267"/>
    </row>
    <row r="31" spans="2:46" ht="12.75" hidden="1" customHeight="1" x14ac:dyDescent="0.2">
      <c r="B31" s="21"/>
      <c r="C31" s="34"/>
      <c r="D31" s="95"/>
      <c r="E31" s="150"/>
      <c r="F31" s="150"/>
      <c r="G31" s="42"/>
      <c r="H31" s="376"/>
      <c r="I31" s="1149"/>
      <c r="J31" s="42"/>
      <c r="K31" s="377"/>
      <c r="L31" s="1086"/>
      <c r="M31" s="789">
        <v>0</v>
      </c>
      <c r="N31" s="1215">
        <v>0</v>
      </c>
      <c r="O31" s="1216" t="str">
        <f t="shared" si="0"/>
        <v/>
      </c>
      <c r="P31" s="1096">
        <f t="shared" si="1"/>
        <v>0</v>
      </c>
      <c r="Q31" s="1095">
        <v>0</v>
      </c>
      <c r="R31" s="378" t="str">
        <f t="shared" si="2"/>
        <v/>
      </c>
      <c r="S31" s="378" t="str">
        <f t="shared" si="3"/>
        <v/>
      </c>
      <c r="T31" s="379">
        <f>ROUND(IF(K31="",0,+Q31/1659*(AB31*12*(1+tab!E$79+tab!E$80)-tab!E$78)*tab!E$76),-1)</f>
        <v>0</v>
      </c>
      <c r="U31" s="1111" t="str">
        <f t="shared" si="4"/>
        <v/>
      </c>
      <c r="V31" s="362"/>
      <c r="W31" s="25"/>
      <c r="AB31" s="1105" t="str">
        <f t="shared" si="5"/>
        <v/>
      </c>
      <c r="AC31" s="1144">
        <f t="shared" si="6"/>
        <v>0.54</v>
      </c>
      <c r="AD31" s="1104" t="e">
        <f t="shared" si="7"/>
        <v>#VALUE!</v>
      </c>
      <c r="AE31" s="1104" t="e">
        <f t="shared" si="8"/>
        <v>#VALUE!</v>
      </c>
      <c r="AF31" s="1104" t="e">
        <f t="shared" si="9"/>
        <v>#VALUE!</v>
      </c>
      <c r="AG31" s="14">
        <f t="shared" si="10"/>
        <v>0</v>
      </c>
      <c r="AH31" s="1106" t="str">
        <f t="shared" si="11"/>
        <v/>
      </c>
      <c r="AI31" s="14">
        <f t="shared" si="12"/>
        <v>0</v>
      </c>
      <c r="AJ31" s="1107">
        <f t="shared" si="13"/>
        <v>0.4</v>
      </c>
      <c r="AK31" s="6">
        <f t="shared" si="14"/>
        <v>0</v>
      </c>
      <c r="AL31" s="1108">
        <f t="shared" si="15"/>
        <v>0</v>
      </c>
      <c r="AT31" s="267"/>
    </row>
    <row r="32" spans="2:46" ht="12.75" hidden="1" customHeight="1" x14ac:dyDescent="0.2">
      <c r="B32" s="21"/>
      <c r="C32" s="34"/>
      <c r="D32" s="95"/>
      <c r="E32" s="150"/>
      <c r="F32" s="150"/>
      <c r="G32" s="42"/>
      <c r="H32" s="376"/>
      <c r="I32" s="1149"/>
      <c r="J32" s="42"/>
      <c r="K32" s="377"/>
      <c r="L32" s="1086"/>
      <c r="M32" s="789">
        <v>0</v>
      </c>
      <c r="N32" s="1215">
        <v>0</v>
      </c>
      <c r="O32" s="1216" t="str">
        <f t="shared" si="0"/>
        <v/>
      </c>
      <c r="P32" s="1096">
        <f t="shared" si="1"/>
        <v>0</v>
      </c>
      <c r="Q32" s="1095">
        <v>0</v>
      </c>
      <c r="R32" s="378" t="str">
        <f t="shared" si="2"/>
        <v/>
      </c>
      <c r="S32" s="378" t="str">
        <f t="shared" si="3"/>
        <v/>
      </c>
      <c r="T32" s="379">
        <f>ROUND(IF(K32="",0,+Q32/1659*(AB32*12*(1+tab!E$79+tab!E$80)-tab!E$78)*tab!E$76),-1)</f>
        <v>0</v>
      </c>
      <c r="U32" s="1111" t="str">
        <f t="shared" si="4"/>
        <v/>
      </c>
      <c r="V32" s="362"/>
      <c r="W32" s="25"/>
      <c r="AB32" s="1105" t="str">
        <f t="shared" si="5"/>
        <v/>
      </c>
      <c r="AC32" s="1144">
        <f t="shared" si="6"/>
        <v>0.54</v>
      </c>
      <c r="AD32" s="1104" t="e">
        <f t="shared" si="7"/>
        <v>#VALUE!</v>
      </c>
      <c r="AE32" s="1104" t="e">
        <f t="shared" si="8"/>
        <v>#VALUE!</v>
      </c>
      <c r="AF32" s="1104" t="e">
        <f t="shared" si="9"/>
        <v>#VALUE!</v>
      </c>
      <c r="AG32" s="14">
        <f t="shared" si="10"/>
        <v>0</v>
      </c>
      <c r="AH32" s="1106" t="str">
        <f t="shared" si="11"/>
        <v/>
      </c>
      <c r="AI32" s="14">
        <f t="shared" si="12"/>
        <v>0</v>
      </c>
      <c r="AJ32" s="1107">
        <f t="shared" si="13"/>
        <v>0.4</v>
      </c>
      <c r="AK32" s="6">
        <f t="shared" si="14"/>
        <v>0</v>
      </c>
      <c r="AL32" s="1108">
        <f t="shared" si="15"/>
        <v>0</v>
      </c>
      <c r="AT32" s="267"/>
    </row>
    <row r="33" spans="2:46" ht="12.75" hidden="1" customHeight="1" x14ac:dyDescent="0.2">
      <c r="B33" s="21"/>
      <c r="C33" s="34"/>
      <c r="D33" s="95"/>
      <c r="E33" s="150"/>
      <c r="F33" s="150"/>
      <c r="G33" s="42"/>
      <c r="H33" s="376"/>
      <c r="I33" s="1149"/>
      <c r="J33" s="42"/>
      <c r="K33" s="377"/>
      <c r="L33" s="1086"/>
      <c r="M33" s="789">
        <v>0</v>
      </c>
      <c r="N33" s="1215">
        <v>0</v>
      </c>
      <c r="O33" s="1216" t="str">
        <f t="shared" si="0"/>
        <v/>
      </c>
      <c r="P33" s="1096">
        <f t="shared" si="1"/>
        <v>0</v>
      </c>
      <c r="Q33" s="1095">
        <v>0</v>
      </c>
      <c r="R33" s="378" t="str">
        <f t="shared" si="2"/>
        <v/>
      </c>
      <c r="S33" s="378" t="str">
        <f t="shared" si="3"/>
        <v/>
      </c>
      <c r="T33" s="379">
        <f>ROUND(IF(K33="",0,+Q33/1659*(AB33*12*(1+tab!E$79+tab!E$80)-tab!E$78)*tab!E$76),-1)</f>
        <v>0</v>
      </c>
      <c r="U33" s="1111" t="str">
        <f t="shared" si="4"/>
        <v/>
      </c>
      <c r="V33" s="362"/>
      <c r="W33" s="25"/>
      <c r="AB33" s="1105" t="str">
        <f t="shared" si="5"/>
        <v/>
      </c>
      <c r="AC33" s="1144">
        <f t="shared" si="6"/>
        <v>0.54</v>
      </c>
      <c r="AD33" s="1104" t="e">
        <f t="shared" si="7"/>
        <v>#VALUE!</v>
      </c>
      <c r="AE33" s="1104" t="e">
        <f t="shared" si="8"/>
        <v>#VALUE!</v>
      </c>
      <c r="AF33" s="1104" t="e">
        <f t="shared" si="9"/>
        <v>#VALUE!</v>
      </c>
      <c r="AG33" s="14">
        <f t="shared" si="10"/>
        <v>0</v>
      </c>
      <c r="AH33" s="1106" t="str">
        <f t="shared" si="11"/>
        <v/>
      </c>
      <c r="AI33" s="14">
        <f t="shared" si="12"/>
        <v>0</v>
      </c>
      <c r="AJ33" s="1107">
        <f t="shared" si="13"/>
        <v>0.4</v>
      </c>
      <c r="AK33" s="6">
        <f t="shared" si="14"/>
        <v>0</v>
      </c>
      <c r="AL33" s="1108">
        <f t="shared" si="15"/>
        <v>0</v>
      </c>
      <c r="AT33" s="267"/>
    </row>
    <row r="34" spans="2:46" ht="12.75" hidden="1" customHeight="1" x14ac:dyDescent="0.2">
      <c r="B34" s="21"/>
      <c r="C34" s="34"/>
      <c r="D34" s="95"/>
      <c r="E34" s="150"/>
      <c r="F34" s="150"/>
      <c r="G34" s="42"/>
      <c r="H34" s="376"/>
      <c r="I34" s="1149"/>
      <c r="J34" s="42"/>
      <c r="K34" s="377"/>
      <c r="L34" s="1086"/>
      <c r="M34" s="789">
        <v>0</v>
      </c>
      <c r="N34" s="1215">
        <v>0</v>
      </c>
      <c r="O34" s="1216" t="str">
        <f t="shared" si="0"/>
        <v/>
      </c>
      <c r="P34" s="1096">
        <f t="shared" si="1"/>
        <v>0</v>
      </c>
      <c r="Q34" s="1095">
        <v>0</v>
      </c>
      <c r="R34" s="378" t="str">
        <f t="shared" si="2"/>
        <v/>
      </c>
      <c r="S34" s="378" t="str">
        <f t="shared" si="3"/>
        <v/>
      </c>
      <c r="T34" s="379">
        <f>ROUND(IF(K34="",0,+Q34/1659*(AB34*12*(1+tab!E$79+tab!E$80)-tab!E$78)*tab!E$76),-1)</f>
        <v>0</v>
      </c>
      <c r="U34" s="1111" t="str">
        <f t="shared" si="4"/>
        <v/>
      </c>
      <c r="V34" s="362"/>
      <c r="W34" s="25"/>
      <c r="AB34" s="1105" t="str">
        <f t="shared" si="5"/>
        <v/>
      </c>
      <c r="AC34" s="1144">
        <f t="shared" si="6"/>
        <v>0.54</v>
      </c>
      <c r="AD34" s="1104" t="e">
        <f t="shared" si="7"/>
        <v>#VALUE!</v>
      </c>
      <c r="AE34" s="1104" t="e">
        <f t="shared" si="8"/>
        <v>#VALUE!</v>
      </c>
      <c r="AF34" s="1104" t="e">
        <f t="shared" si="9"/>
        <v>#VALUE!</v>
      </c>
      <c r="AG34" s="14">
        <f t="shared" si="10"/>
        <v>0</v>
      </c>
      <c r="AH34" s="1106" t="str">
        <f t="shared" si="11"/>
        <v/>
      </c>
      <c r="AI34" s="14">
        <f t="shared" si="12"/>
        <v>0</v>
      </c>
      <c r="AJ34" s="1107">
        <f t="shared" si="13"/>
        <v>0.4</v>
      </c>
      <c r="AK34" s="6">
        <f t="shared" si="14"/>
        <v>0</v>
      </c>
      <c r="AL34" s="1108">
        <f t="shared" si="15"/>
        <v>0</v>
      </c>
      <c r="AT34" s="267"/>
    </row>
    <row r="35" spans="2:46" ht="12.75" hidden="1" customHeight="1" x14ac:dyDescent="0.2">
      <c r="B35" s="21"/>
      <c r="C35" s="34"/>
      <c r="D35" s="363"/>
      <c r="E35" s="363"/>
      <c r="F35" s="363"/>
      <c r="G35" s="188"/>
      <c r="H35" s="364"/>
      <c r="I35" s="188"/>
      <c r="J35" s="365"/>
      <c r="K35" s="380">
        <f>SUM(K15:K34)</f>
        <v>1</v>
      </c>
      <c r="L35" s="1079"/>
      <c r="M35" s="1094">
        <f t="shared" ref="M35:U35" si="16">SUM(M15:M34)</f>
        <v>0</v>
      </c>
      <c r="N35" s="1094">
        <f t="shared" si="16"/>
        <v>0</v>
      </c>
      <c r="O35" s="1094">
        <f t="shared" si="16"/>
        <v>50</v>
      </c>
      <c r="P35" s="1094">
        <f t="shared" si="16"/>
        <v>50</v>
      </c>
      <c r="Q35" s="1094">
        <f t="shared" si="16"/>
        <v>0</v>
      </c>
      <c r="R35" s="1109">
        <f t="shared" si="16"/>
        <v>65360.838734177218</v>
      </c>
      <c r="S35" s="1109">
        <f t="shared" si="16"/>
        <v>2031.1012658227851</v>
      </c>
      <c r="T35" s="1109">
        <f t="shared" si="16"/>
        <v>0</v>
      </c>
      <c r="U35" s="1110">
        <f t="shared" si="16"/>
        <v>67391.94</v>
      </c>
      <c r="V35" s="348"/>
      <c r="W35" s="25"/>
      <c r="AB35" s="1105">
        <f>SUM(AB15:AB34)</f>
        <v>3646.75</v>
      </c>
      <c r="AL35" s="1108">
        <f>SUM(AL15:AL34)</f>
        <v>0</v>
      </c>
      <c r="AT35" s="267"/>
    </row>
    <row r="36" spans="2:46" ht="12.75" hidden="1" customHeight="1" x14ac:dyDescent="0.2">
      <c r="B36" s="21"/>
      <c r="C36" s="34"/>
      <c r="D36" s="183"/>
      <c r="E36" s="183"/>
      <c r="F36" s="183"/>
      <c r="G36" s="182"/>
      <c r="H36" s="189"/>
      <c r="I36" s="182"/>
      <c r="J36" s="348"/>
      <c r="K36" s="349"/>
      <c r="L36" s="1083"/>
      <c r="M36" s="349"/>
      <c r="N36" s="348"/>
      <c r="O36" s="348"/>
      <c r="P36" s="366"/>
      <c r="Q36" s="366"/>
      <c r="R36" s="366"/>
      <c r="S36" s="366"/>
      <c r="T36" s="352"/>
      <c r="U36" s="367"/>
      <c r="V36" s="348"/>
      <c r="W36" s="25"/>
    </row>
    <row r="37" spans="2:46" ht="12.75" hidden="1" customHeight="1" x14ac:dyDescent="0.2">
      <c r="B37" s="21"/>
      <c r="C37" s="22"/>
      <c r="D37" s="293"/>
      <c r="E37" s="293"/>
      <c r="F37" s="293"/>
      <c r="G37" s="24"/>
      <c r="H37" s="294"/>
      <c r="I37" s="24"/>
      <c r="J37" s="295"/>
      <c r="K37" s="343"/>
      <c r="L37" s="1080"/>
      <c r="M37" s="296"/>
      <c r="N37" s="22"/>
      <c r="O37" s="344"/>
      <c r="P37" s="345"/>
      <c r="Q37" s="345"/>
      <c r="R37" s="345"/>
      <c r="S37" s="345"/>
      <c r="T37" s="346"/>
      <c r="U37" s="347"/>
      <c r="V37" s="22"/>
      <c r="W37" s="25"/>
    </row>
    <row r="38" spans="2:46" ht="12.75" hidden="1" customHeight="1" x14ac:dyDescent="0.2">
      <c r="B38" s="21"/>
      <c r="C38" s="22"/>
      <c r="D38" s="293"/>
      <c r="E38" s="293"/>
      <c r="F38" s="293"/>
      <c r="G38" s="24"/>
      <c r="H38" s="294"/>
      <c r="I38" s="24"/>
      <c r="J38" s="295"/>
      <c r="K38" s="343"/>
      <c r="L38" s="1080"/>
      <c r="M38" s="296"/>
      <c r="N38" s="22"/>
      <c r="O38" s="344"/>
      <c r="P38" s="345"/>
      <c r="Q38" s="345"/>
      <c r="R38" s="345"/>
      <c r="S38" s="345"/>
      <c r="T38" s="346"/>
      <c r="U38" s="347"/>
      <c r="V38" s="22"/>
      <c r="W38" s="819"/>
    </row>
    <row r="39" spans="2:46" s="245" customFormat="1" ht="12.75" customHeight="1" x14ac:dyDescent="0.25">
      <c r="B39" s="326"/>
      <c r="C39" s="22" t="s">
        <v>119</v>
      </c>
      <c r="D39" s="293"/>
      <c r="E39" s="339" t="str">
        <f>tab!F2</f>
        <v>2019/20</v>
      </c>
      <c r="F39" s="329"/>
      <c r="G39" s="330"/>
      <c r="H39" s="331"/>
      <c r="I39" s="332"/>
      <c r="J39" s="332"/>
      <c r="K39" s="333"/>
      <c r="L39" s="1619"/>
      <c r="M39" s="334"/>
      <c r="N39" s="327"/>
      <c r="O39" s="335"/>
      <c r="P39" s="327"/>
      <c r="Q39" s="327"/>
      <c r="R39" s="327"/>
      <c r="S39" s="327"/>
      <c r="T39" s="336"/>
      <c r="U39" s="337"/>
      <c r="V39" s="327"/>
      <c r="W39" s="338"/>
      <c r="AC39" s="249"/>
      <c r="AD39" s="250"/>
      <c r="AE39" s="249"/>
      <c r="AF39" s="249"/>
      <c r="AG39" s="249"/>
      <c r="AH39" s="249"/>
      <c r="AI39" s="247"/>
      <c r="AJ39" s="246"/>
      <c r="AK39" s="248"/>
      <c r="AL39" s="251"/>
      <c r="AM39" s="247"/>
    </row>
    <row r="40" spans="2:46" ht="12.75" customHeight="1" x14ac:dyDescent="0.2">
      <c r="B40" s="21"/>
      <c r="C40" s="22" t="s">
        <v>120</v>
      </c>
      <c r="D40" s="293"/>
      <c r="E40" s="339">
        <f>tab!G3</f>
        <v>43739</v>
      </c>
      <c r="F40" s="52"/>
      <c r="G40" s="53"/>
      <c r="H40" s="340"/>
      <c r="I40" s="295"/>
      <c r="J40" s="295"/>
      <c r="K40" s="296"/>
      <c r="L40" s="1091"/>
      <c r="M40" s="297"/>
      <c r="N40" s="22"/>
      <c r="O40" s="298"/>
      <c r="P40" s="22"/>
      <c r="Q40" s="22"/>
      <c r="R40" s="22"/>
      <c r="S40" s="22"/>
      <c r="T40" s="299"/>
      <c r="U40" s="300"/>
      <c r="V40" s="22"/>
      <c r="W40" s="25"/>
      <c r="AC40" s="243"/>
      <c r="AD40" s="244"/>
      <c r="AE40" s="243"/>
      <c r="AF40" s="243"/>
      <c r="AG40" s="243"/>
      <c r="AH40" s="243"/>
      <c r="AI40" s="222"/>
      <c r="AJ40" s="221"/>
      <c r="AK40" s="223"/>
      <c r="AL40" s="14"/>
      <c r="AM40" s="222"/>
    </row>
    <row r="41" spans="2:46" ht="12.75" customHeight="1" x14ac:dyDescent="0.25">
      <c r="B41" s="21"/>
      <c r="C41" s="459" t="s">
        <v>475</v>
      </c>
      <c r="D41" s="328"/>
      <c r="E41" s="341"/>
      <c r="F41" s="52"/>
      <c r="G41" s="53"/>
      <c r="H41" s="340"/>
      <c r="I41" s="295"/>
      <c r="J41" s="295"/>
      <c r="K41" s="296"/>
      <c r="L41" s="1091"/>
      <c r="M41" s="297"/>
      <c r="N41" s="22"/>
      <c r="O41" s="298"/>
      <c r="P41" s="22"/>
      <c r="Q41" s="22"/>
      <c r="R41" s="22"/>
      <c r="S41" s="22"/>
      <c r="T41" s="299"/>
      <c r="U41" s="300"/>
      <c r="V41" s="22"/>
      <c r="W41" s="25"/>
      <c r="AC41" s="253"/>
      <c r="AD41" s="254"/>
      <c r="AE41" s="253"/>
      <c r="AF41" s="253"/>
      <c r="AG41" s="253"/>
      <c r="AH41" s="243"/>
      <c r="AI41" s="255"/>
      <c r="AJ41" s="256"/>
      <c r="AK41" s="257"/>
      <c r="AL41" s="258"/>
      <c r="AM41" s="255"/>
    </row>
    <row r="42" spans="2:46" ht="12.75" customHeight="1" x14ac:dyDescent="0.2">
      <c r="B42" s="21"/>
      <c r="C42" s="34"/>
      <c r="D42" s="183"/>
      <c r="E42" s="92"/>
      <c r="F42" s="183"/>
      <c r="G42" s="182"/>
      <c r="H42" s="189"/>
      <c r="I42" s="348"/>
      <c r="J42" s="348"/>
      <c r="K42" s="349"/>
      <c r="L42" s="1083"/>
      <c r="M42" s="350"/>
      <c r="N42" s="34"/>
      <c r="O42" s="351"/>
      <c r="P42" s="34"/>
      <c r="Q42" s="34"/>
      <c r="R42" s="34"/>
      <c r="S42" s="34"/>
      <c r="T42" s="352"/>
      <c r="U42" s="353"/>
      <c r="V42" s="34"/>
      <c r="W42" s="25"/>
      <c r="X42" s="852"/>
      <c r="AC42" s="1097"/>
      <c r="AD42" s="1098"/>
      <c r="AE42" s="1097"/>
      <c r="AF42" s="1097"/>
      <c r="AG42" s="1097"/>
      <c r="AH42" s="1099"/>
      <c r="AI42" s="1100"/>
      <c r="AJ42" s="1101"/>
      <c r="AK42" s="1102"/>
      <c r="AL42" s="1103"/>
      <c r="AM42" s="255"/>
    </row>
    <row r="43" spans="2:46" s="1077" customFormat="1" ht="12.75" customHeight="1" x14ac:dyDescent="0.2">
      <c r="B43" s="1075"/>
      <c r="C43" s="1076"/>
      <c r="D43" s="1072" t="s">
        <v>121</v>
      </c>
      <c r="E43" s="1073"/>
      <c r="F43" s="1073"/>
      <c r="G43" s="1073"/>
      <c r="H43" s="1073"/>
      <c r="I43" s="1073"/>
      <c r="J43" s="1073"/>
      <c r="K43" s="1073"/>
      <c r="L43" s="1081"/>
      <c r="M43" s="1112" t="s">
        <v>649</v>
      </c>
      <c r="N43" s="1113"/>
      <c r="O43" s="1114"/>
      <c r="P43" s="1114"/>
      <c r="Q43" s="1113"/>
      <c r="R43" s="1115" t="s">
        <v>650</v>
      </c>
      <c r="S43" s="1116"/>
      <c r="T43" s="1116"/>
      <c r="U43" s="1116"/>
      <c r="V43" s="1117"/>
      <c r="W43" s="1118"/>
      <c r="X43" s="1119"/>
      <c r="Y43" s="1120"/>
      <c r="Z43" s="1121"/>
      <c r="AA43" s="1121"/>
      <c r="AB43" s="1122"/>
      <c r="AC43" s="1123"/>
      <c r="AD43" s="1124"/>
      <c r="AE43" s="1123"/>
      <c r="AF43" s="1125"/>
      <c r="AG43" s="1125"/>
      <c r="AH43" s="1126"/>
      <c r="AI43" s="1127"/>
      <c r="AJ43" s="1126"/>
      <c r="AK43" s="1128"/>
      <c r="AL43" s="1128"/>
      <c r="AN43" s="259"/>
      <c r="AO43" s="259"/>
    </row>
    <row r="44" spans="2:46" s="208" customFormat="1" ht="12.75" customHeight="1" x14ac:dyDescent="0.2">
      <c r="B44" s="211"/>
      <c r="C44" s="354"/>
      <c r="D44" s="369" t="s">
        <v>122</v>
      </c>
      <c r="E44" s="369" t="s">
        <v>123</v>
      </c>
      <c r="F44" s="369" t="s">
        <v>124</v>
      </c>
      <c r="G44" s="370" t="s">
        <v>125</v>
      </c>
      <c r="H44" s="371" t="s">
        <v>126</v>
      </c>
      <c r="I44" s="370" t="s">
        <v>91</v>
      </c>
      <c r="J44" s="370" t="s">
        <v>127</v>
      </c>
      <c r="K44" s="372" t="s">
        <v>128</v>
      </c>
      <c r="L44" s="1084"/>
      <c r="M44" s="1129" t="s">
        <v>651</v>
      </c>
      <c r="N44" s="1130" t="s">
        <v>652</v>
      </c>
      <c r="O44" s="1131" t="s">
        <v>653</v>
      </c>
      <c r="P44" s="1132" t="s">
        <v>654</v>
      </c>
      <c r="Q44" s="1130" t="s">
        <v>655</v>
      </c>
      <c r="R44" s="1131" t="s">
        <v>129</v>
      </c>
      <c r="S44" s="1129" t="s">
        <v>656</v>
      </c>
      <c r="T44" s="1129" t="s">
        <v>657</v>
      </c>
      <c r="U44" s="1129" t="s">
        <v>129</v>
      </c>
      <c r="V44" s="1133"/>
      <c r="W44" s="1134"/>
      <c r="X44" s="1135"/>
      <c r="Y44" s="1136"/>
      <c r="Z44" s="1137"/>
      <c r="AA44" s="1137"/>
      <c r="AB44" s="1141" t="s">
        <v>253</v>
      </c>
      <c r="AC44" s="1142" t="s">
        <v>658</v>
      </c>
      <c r="AD44" s="1143" t="s">
        <v>659</v>
      </c>
      <c r="AE44" s="1143" t="s">
        <v>659</v>
      </c>
      <c r="AF44" s="1143" t="s">
        <v>660</v>
      </c>
      <c r="AG44" s="1143" t="s">
        <v>655</v>
      </c>
      <c r="AH44" s="1143" t="s">
        <v>661</v>
      </c>
      <c r="AI44" s="1143" t="s">
        <v>662</v>
      </c>
      <c r="AJ44" s="1143" t="s">
        <v>663</v>
      </c>
      <c r="AK44" s="1143" t="s">
        <v>131</v>
      </c>
      <c r="AL44" s="1006" t="s">
        <v>266</v>
      </c>
      <c r="AN44" s="259"/>
      <c r="AO44" s="261"/>
    </row>
    <row r="45" spans="2:46" s="208" customFormat="1" ht="12.75" customHeight="1" x14ac:dyDescent="0.2">
      <c r="B45" s="211"/>
      <c r="C45" s="354"/>
      <c r="D45" s="374"/>
      <c r="E45" s="369"/>
      <c r="F45" s="375"/>
      <c r="G45" s="370" t="s">
        <v>133</v>
      </c>
      <c r="H45" s="371" t="s">
        <v>134</v>
      </c>
      <c r="I45" s="370"/>
      <c r="J45" s="370"/>
      <c r="K45" s="372"/>
      <c r="L45" s="1084"/>
      <c r="M45" s="1138" t="s">
        <v>664</v>
      </c>
      <c r="N45" s="1130" t="s">
        <v>665</v>
      </c>
      <c r="O45" s="1131" t="s">
        <v>666</v>
      </c>
      <c r="P45" s="1132" t="s">
        <v>71</v>
      </c>
      <c r="Q45" s="1130" t="s">
        <v>667</v>
      </c>
      <c r="R45" s="1131" t="s">
        <v>668</v>
      </c>
      <c r="S45" s="1139" t="s">
        <v>669</v>
      </c>
      <c r="T45" s="1139" t="s">
        <v>670</v>
      </c>
      <c r="U45" s="1129" t="s">
        <v>71</v>
      </c>
      <c r="V45" s="1133"/>
      <c r="W45" s="1134"/>
      <c r="X45" s="1135"/>
      <c r="Y45" s="1140"/>
      <c r="Z45" s="1137"/>
      <c r="AA45" s="1137"/>
      <c r="AB45" s="1143" t="s">
        <v>671</v>
      </c>
      <c r="AC45" s="1144">
        <f>tab!$E$69</f>
        <v>0.54</v>
      </c>
      <c r="AD45" s="1143" t="s">
        <v>672</v>
      </c>
      <c r="AE45" s="1143" t="s">
        <v>673</v>
      </c>
      <c r="AF45" s="1143" t="s">
        <v>674</v>
      </c>
      <c r="AG45" s="1143" t="s">
        <v>667</v>
      </c>
      <c r="AH45" s="1143" t="s">
        <v>675</v>
      </c>
      <c r="AI45" s="1143" t="s">
        <v>675</v>
      </c>
      <c r="AJ45" s="1143" t="s">
        <v>676</v>
      </c>
      <c r="AK45" s="1143"/>
      <c r="AL45" s="1143" t="s">
        <v>130</v>
      </c>
      <c r="AO45" s="262"/>
    </row>
    <row r="46" spans="2:46" ht="12.75" customHeight="1" x14ac:dyDescent="0.2">
      <c r="B46" s="21"/>
      <c r="C46" s="34"/>
      <c r="D46" s="183"/>
      <c r="E46" s="183"/>
      <c r="F46" s="183"/>
      <c r="G46" s="182"/>
      <c r="H46" s="189"/>
      <c r="I46" s="355"/>
      <c r="J46" s="355"/>
      <c r="K46" s="356"/>
      <c r="L46" s="1085"/>
      <c r="M46" s="356"/>
      <c r="N46" s="357"/>
      <c r="O46" s="358"/>
      <c r="P46" s="359"/>
      <c r="Q46" s="359"/>
      <c r="R46" s="359"/>
      <c r="S46" s="359"/>
      <c r="T46" s="360"/>
      <c r="U46" s="361"/>
      <c r="V46" s="357"/>
      <c r="W46" s="25"/>
      <c r="AC46" s="6"/>
      <c r="AD46" s="6"/>
      <c r="AL46" s="6"/>
      <c r="AM46" s="6"/>
      <c r="AO46" s="265"/>
    </row>
    <row r="47" spans="2:46" ht="12.75" customHeight="1" x14ac:dyDescent="0.2">
      <c r="B47" s="21"/>
      <c r="C47" s="34"/>
      <c r="D47" s="798" t="str">
        <f t="shared" ref="D47:D66" si="17">IF(D15=0,"",D15)</f>
        <v/>
      </c>
      <c r="E47" s="798" t="str">
        <f t="shared" ref="E47:E66" si="18">IF(E15="","",E15)</f>
        <v>piet</v>
      </c>
      <c r="F47" s="798" t="str">
        <f t="shared" ref="F47:F66" si="19">IF(F15=0,"",F15)</f>
        <v>chef</v>
      </c>
      <c r="G47" s="799">
        <f t="shared" ref="G47:G66" si="20">IF(G15="","",G15+1)</f>
        <v>23</v>
      </c>
      <c r="H47" s="800">
        <f t="shared" ref="H47:I66" si="21">IF(H15=0,"",H15)</f>
        <v>25600</v>
      </c>
      <c r="I47" s="801" t="str">
        <f t="shared" si="21"/>
        <v>LD</v>
      </c>
      <c r="J47" s="799">
        <f>IF(E47="","",IF(J15&lt;VLOOKUP(I47,sal2019juni,18,FALSE),J15+1,J15))</f>
        <v>7</v>
      </c>
      <c r="K47" s="802">
        <f t="shared" ref="K47:K66" si="22">IF(K15="","",K15)</f>
        <v>1</v>
      </c>
      <c r="L47" s="1086"/>
      <c r="M47" s="789">
        <v>0</v>
      </c>
      <c r="N47" s="1215">
        <v>0</v>
      </c>
      <c r="O47" s="1216">
        <f>IF(K47="","",K47*50)</f>
        <v>50</v>
      </c>
      <c r="P47" s="1096">
        <f>SUM(M47:O47)</f>
        <v>50</v>
      </c>
      <c r="Q47" s="1095">
        <v>0</v>
      </c>
      <c r="R47" s="378">
        <f>IF(K47="","",(1659*K47-P47)*AE47)</f>
        <v>72168.60599156117</v>
      </c>
      <c r="S47" s="378">
        <f>IF(K47="","",P47*AF47+AD47*(AH47+AI47*(1-AJ47)))</f>
        <v>2242.6540084388184</v>
      </c>
      <c r="T47" s="379">
        <f>ROUND(IF(K47="",0,+Q47/1659*(AB47*12*(1+tab!$F$79+tab!$F$80)-tab!$F$78)*tab!$F$76),-1)</f>
        <v>0</v>
      </c>
      <c r="U47" s="1111">
        <f>IF(K47="","",IF(E47=0,0,(R47+S47+T47)))</f>
        <v>74411.259999999995</v>
      </c>
      <c r="V47" s="362"/>
      <c r="W47" s="25"/>
      <c r="AB47" s="1105">
        <f>IF(I47="","",5/12*VLOOKUP(I47,sal2019juni,J47+1,FALSE) +7/12*VLOOKUP(I47,salmrt2020,J47+1,FALSE))</f>
        <v>4026.5833333333335</v>
      </c>
      <c r="AC47" s="1144">
        <f>AC$45</f>
        <v>0.54</v>
      </c>
      <c r="AD47" s="1104">
        <f>AB47*12/1659</f>
        <v>29.12537673297167</v>
      </c>
      <c r="AE47" s="1104">
        <f>AB47*12*(1+AC47)/1659</f>
        <v>44.853080168776366</v>
      </c>
      <c r="AF47" s="1104">
        <f>+AE47-AD47</f>
        <v>15.727703435804695</v>
      </c>
      <c r="AG47" s="14">
        <f>Q47</f>
        <v>0</v>
      </c>
      <c r="AH47" s="1106">
        <f>O47</f>
        <v>50</v>
      </c>
      <c r="AI47" s="14">
        <f>(M47+N47)</f>
        <v>0</v>
      </c>
      <c r="AJ47" s="1107">
        <f>IF(I47&gt;8,50%,40%)</f>
        <v>0.5</v>
      </c>
      <c r="AK47" s="6">
        <f>IF(G47&lt;25,0,IF(G47=25,25,IF(G47&lt;40,0,IF(G47=40,40,IF(G47&gt;=40,0)))))</f>
        <v>0</v>
      </c>
      <c r="AL47" s="1108">
        <f>IF(AK47=25,AB47*1.08*K47/2,IF(AK47=40,AB47*1.08*K47,0))</f>
        <v>0</v>
      </c>
      <c r="AT47" s="266" t="s">
        <v>79</v>
      </c>
    </row>
    <row r="48" spans="2:46" ht="12.75" customHeight="1" x14ac:dyDescent="0.2">
      <c r="B48" s="21"/>
      <c r="C48" s="34"/>
      <c r="D48" s="798" t="str">
        <f t="shared" si="17"/>
        <v/>
      </c>
      <c r="E48" s="798" t="str">
        <f t="shared" si="18"/>
        <v/>
      </c>
      <c r="F48" s="798" t="str">
        <f t="shared" si="19"/>
        <v/>
      </c>
      <c r="G48" s="799" t="str">
        <f t="shared" si="20"/>
        <v/>
      </c>
      <c r="H48" s="800" t="str">
        <f t="shared" si="21"/>
        <v/>
      </c>
      <c r="I48" s="801" t="str">
        <f t="shared" si="21"/>
        <v/>
      </c>
      <c r="J48" s="799" t="str">
        <f t="shared" ref="J48:J66" si="23">IF(E48="","",IF(J16&lt;VLOOKUP(I48,sal2016jan,19,FALSE),J16+1,J16))</f>
        <v/>
      </c>
      <c r="K48" s="802" t="str">
        <f t="shared" si="22"/>
        <v/>
      </c>
      <c r="L48" s="1086"/>
      <c r="M48" s="789">
        <v>0</v>
      </c>
      <c r="N48" s="1215">
        <v>0</v>
      </c>
      <c r="O48" s="1216" t="str">
        <f t="shared" ref="O48:O66" si="24">IF(K48="","",K48*50)</f>
        <v/>
      </c>
      <c r="P48" s="1096">
        <f t="shared" ref="P48:P66" si="25">SUM(M48:O48)</f>
        <v>0</v>
      </c>
      <c r="Q48" s="1095">
        <v>0</v>
      </c>
      <c r="R48" s="378" t="str">
        <f t="shared" ref="R48:R66" si="26">IF(K48="","",(1659*K48-P48)*AE48)</f>
        <v/>
      </c>
      <c r="S48" s="378" t="str">
        <f t="shared" ref="S48:S66" si="27">IF(K48="","",P48*AF48+AD48*(AH48+AI48*(1-AJ48)))</f>
        <v/>
      </c>
      <c r="T48" s="379">
        <f>ROUND(IF(K48="",0,+Q48/1659*(AB48*12*(1+tab!$F$79+tab!$F$80)-tab!$F$78)*tab!$F$76),-1)</f>
        <v>0</v>
      </c>
      <c r="U48" s="1111" t="str">
        <f t="shared" ref="U48:U66" si="28">IF(K48="","",IF(E48=0,0,(R48+S48+T48)))</f>
        <v/>
      </c>
      <c r="V48" s="362"/>
      <c r="W48" s="25"/>
      <c r="AB48" s="1105" t="str">
        <f t="shared" ref="AB48:AB66" si="29">IF(I48="","",2/12*VLOOKUP(I48,sal2019juni,J48+1,FALSE) +3/12*VLOOKUP(I48,sal2019okt,J48+1,FALSE)+7/12*VLOOKUP(I48,salmrt2020,J48+1,FALSE))</f>
        <v/>
      </c>
      <c r="AC48" s="1144">
        <f t="shared" ref="AC48:AC66" si="30">AC$45</f>
        <v>0.54</v>
      </c>
      <c r="AD48" s="1104" t="e">
        <f t="shared" ref="AD48:AD66" si="31">AB48*12/1659</f>
        <v>#VALUE!</v>
      </c>
      <c r="AE48" s="1104" t="e">
        <f t="shared" ref="AE48:AE66" si="32">AB48*12*(1+AC48)/1659</f>
        <v>#VALUE!</v>
      </c>
      <c r="AF48" s="1104" t="e">
        <f t="shared" ref="AF48:AF66" si="33">+AE48-AD48</f>
        <v>#VALUE!</v>
      </c>
      <c r="AG48" s="14">
        <f t="shared" ref="AG48:AG66" si="34">Q48</f>
        <v>0</v>
      </c>
      <c r="AH48" s="1106" t="str">
        <f t="shared" ref="AH48:AH66" si="35">O48</f>
        <v/>
      </c>
      <c r="AI48" s="14">
        <f t="shared" ref="AI48:AI66" si="36">(M48+N48)</f>
        <v>0</v>
      </c>
      <c r="AJ48" s="1107">
        <f t="shared" ref="AJ48:AJ66" si="37">IF(I48&gt;8,50%,40%)</f>
        <v>0.5</v>
      </c>
      <c r="AK48" s="6">
        <f t="shared" ref="AK48:AK66" si="38">IF(G48&lt;25,0,IF(G48=25,25,IF(G48&lt;40,0,IF(G48=40,40,IF(G48&gt;=40,0)))))</f>
        <v>0</v>
      </c>
      <c r="AL48" s="1108">
        <f t="shared" ref="AL48:AL66" si="39">IF(AK48=25,AB48*1.08*K48/2,IF(AK48=40,AB48*1.08*K48,0))</f>
        <v>0</v>
      </c>
      <c r="AT48" s="266" t="s">
        <v>80</v>
      </c>
    </row>
    <row r="49" spans="2:46" ht="12.75" customHeight="1" x14ac:dyDescent="0.2">
      <c r="B49" s="21"/>
      <c r="C49" s="34"/>
      <c r="D49" s="798" t="str">
        <f t="shared" si="17"/>
        <v/>
      </c>
      <c r="E49" s="798" t="str">
        <f t="shared" si="18"/>
        <v/>
      </c>
      <c r="F49" s="798" t="str">
        <f t="shared" si="19"/>
        <v/>
      </c>
      <c r="G49" s="799" t="str">
        <f t="shared" si="20"/>
        <v/>
      </c>
      <c r="H49" s="800" t="str">
        <f t="shared" si="21"/>
        <v/>
      </c>
      <c r="I49" s="801" t="str">
        <f t="shared" si="21"/>
        <v/>
      </c>
      <c r="J49" s="799" t="str">
        <f t="shared" si="23"/>
        <v/>
      </c>
      <c r="K49" s="802" t="str">
        <f t="shared" si="22"/>
        <v/>
      </c>
      <c r="L49" s="1086"/>
      <c r="M49" s="789">
        <v>0</v>
      </c>
      <c r="N49" s="1215">
        <v>0</v>
      </c>
      <c r="O49" s="1216" t="str">
        <f t="shared" si="24"/>
        <v/>
      </c>
      <c r="P49" s="1096">
        <f t="shared" si="25"/>
        <v>0</v>
      </c>
      <c r="Q49" s="1095">
        <v>0</v>
      </c>
      <c r="R49" s="378" t="str">
        <f t="shared" si="26"/>
        <v/>
      </c>
      <c r="S49" s="378" t="str">
        <f t="shared" si="27"/>
        <v/>
      </c>
      <c r="T49" s="379">
        <f>ROUND(IF(K49="",0,+Q49/1659*(AB49*12*(1+tab!$F$79+tab!$F$80)-tab!$F$78)*tab!$F$76),-1)</f>
        <v>0</v>
      </c>
      <c r="U49" s="1111" t="str">
        <f t="shared" si="28"/>
        <v/>
      </c>
      <c r="V49" s="362"/>
      <c r="W49" s="25"/>
      <c r="AB49" s="1105" t="str">
        <f t="shared" si="29"/>
        <v/>
      </c>
      <c r="AC49" s="1144">
        <f t="shared" si="30"/>
        <v>0.54</v>
      </c>
      <c r="AD49" s="1104" t="e">
        <f t="shared" si="31"/>
        <v>#VALUE!</v>
      </c>
      <c r="AE49" s="1104" t="e">
        <f t="shared" si="32"/>
        <v>#VALUE!</v>
      </c>
      <c r="AF49" s="1104" t="e">
        <f t="shared" si="33"/>
        <v>#VALUE!</v>
      </c>
      <c r="AG49" s="14">
        <f t="shared" si="34"/>
        <v>0</v>
      </c>
      <c r="AH49" s="1106" t="str">
        <f t="shared" si="35"/>
        <v/>
      </c>
      <c r="AI49" s="14">
        <f t="shared" si="36"/>
        <v>0</v>
      </c>
      <c r="AJ49" s="1107">
        <f t="shared" si="37"/>
        <v>0.5</v>
      </c>
      <c r="AK49" s="6">
        <f t="shared" si="38"/>
        <v>0</v>
      </c>
      <c r="AL49" s="1108">
        <f t="shared" si="39"/>
        <v>0</v>
      </c>
      <c r="AT49" s="266" t="s">
        <v>81</v>
      </c>
    </row>
    <row r="50" spans="2:46" ht="12.75" customHeight="1" x14ac:dyDescent="0.2">
      <c r="B50" s="21"/>
      <c r="C50" s="34"/>
      <c r="D50" s="798" t="str">
        <f t="shared" si="17"/>
        <v/>
      </c>
      <c r="E50" s="798" t="str">
        <f t="shared" si="18"/>
        <v/>
      </c>
      <c r="F50" s="798" t="str">
        <f t="shared" si="19"/>
        <v/>
      </c>
      <c r="G50" s="799" t="str">
        <f t="shared" si="20"/>
        <v/>
      </c>
      <c r="H50" s="800" t="str">
        <f t="shared" si="21"/>
        <v/>
      </c>
      <c r="I50" s="801" t="str">
        <f t="shared" si="21"/>
        <v/>
      </c>
      <c r="J50" s="799" t="str">
        <f t="shared" si="23"/>
        <v/>
      </c>
      <c r="K50" s="802" t="str">
        <f t="shared" si="22"/>
        <v/>
      </c>
      <c r="L50" s="1086"/>
      <c r="M50" s="789">
        <v>0</v>
      </c>
      <c r="N50" s="1215">
        <v>0</v>
      </c>
      <c r="O50" s="1216" t="str">
        <f t="shared" si="24"/>
        <v/>
      </c>
      <c r="P50" s="1096">
        <f t="shared" si="25"/>
        <v>0</v>
      </c>
      <c r="Q50" s="1095">
        <v>0</v>
      </c>
      <c r="R50" s="378" t="str">
        <f t="shared" si="26"/>
        <v/>
      </c>
      <c r="S50" s="378" t="str">
        <f t="shared" si="27"/>
        <v/>
      </c>
      <c r="T50" s="379">
        <f>ROUND(IF(K50="",0,+Q50/1659*(AB50*12*(1+tab!$F$79+tab!$F$80)-tab!$F$78)*tab!$F$76),-1)</f>
        <v>0</v>
      </c>
      <c r="U50" s="1111" t="str">
        <f t="shared" si="28"/>
        <v/>
      </c>
      <c r="V50" s="362"/>
      <c r="W50" s="25"/>
      <c r="AB50" s="1105" t="str">
        <f t="shared" si="29"/>
        <v/>
      </c>
      <c r="AC50" s="1144">
        <f t="shared" si="30"/>
        <v>0.54</v>
      </c>
      <c r="AD50" s="1104" t="e">
        <f t="shared" si="31"/>
        <v>#VALUE!</v>
      </c>
      <c r="AE50" s="1104" t="e">
        <f t="shared" si="32"/>
        <v>#VALUE!</v>
      </c>
      <c r="AF50" s="1104" t="e">
        <f t="shared" si="33"/>
        <v>#VALUE!</v>
      </c>
      <c r="AG50" s="14">
        <f t="shared" si="34"/>
        <v>0</v>
      </c>
      <c r="AH50" s="1106" t="str">
        <f t="shared" si="35"/>
        <v/>
      </c>
      <c r="AI50" s="14">
        <f t="shared" si="36"/>
        <v>0</v>
      </c>
      <c r="AJ50" s="1107">
        <f t="shared" si="37"/>
        <v>0.5</v>
      </c>
      <c r="AK50" s="6">
        <f t="shared" si="38"/>
        <v>0</v>
      </c>
      <c r="AL50" s="1108">
        <f t="shared" si="39"/>
        <v>0</v>
      </c>
      <c r="AT50" s="266" t="s">
        <v>82</v>
      </c>
    </row>
    <row r="51" spans="2:46" ht="12.75" customHeight="1" x14ac:dyDescent="0.2">
      <c r="B51" s="21"/>
      <c r="C51" s="34"/>
      <c r="D51" s="798" t="str">
        <f t="shared" si="17"/>
        <v/>
      </c>
      <c r="E51" s="798" t="str">
        <f t="shared" si="18"/>
        <v/>
      </c>
      <c r="F51" s="798" t="str">
        <f t="shared" si="19"/>
        <v/>
      </c>
      <c r="G51" s="799" t="str">
        <f t="shared" si="20"/>
        <v/>
      </c>
      <c r="H51" s="800" t="str">
        <f t="shared" si="21"/>
        <v/>
      </c>
      <c r="I51" s="801" t="str">
        <f t="shared" si="21"/>
        <v/>
      </c>
      <c r="J51" s="799" t="str">
        <f t="shared" si="23"/>
        <v/>
      </c>
      <c r="K51" s="802" t="str">
        <f t="shared" si="22"/>
        <v/>
      </c>
      <c r="L51" s="1086"/>
      <c r="M51" s="789">
        <v>0</v>
      </c>
      <c r="N51" s="1215">
        <v>0</v>
      </c>
      <c r="O51" s="1216" t="str">
        <f t="shared" si="24"/>
        <v/>
      </c>
      <c r="P51" s="1096">
        <f t="shared" si="25"/>
        <v>0</v>
      </c>
      <c r="Q51" s="1095">
        <v>0</v>
      </c>
      <c r="R51" s="378" t="str">
        <f t="shared" si="26"/>
        <v/>
      </c>
      <c r="S51" s="378" t="str">
        <f t="shared" si="27"/>
        <v/>
      </c>
      <c r="T51" s="379">
        <f>ROUND(IF(K51="",0,+Q51/1659*(AB51*12*(1+tab!$F$79+tab!$F$80)-tab!$F$78)*tab!$F$76),-1)</f>
        <v>0</v>
      </c>
      <c r="U51" s="1111" t="str">
        <f t="shared" si="28"/>
        <v/>
      </c>
      <c r="V51" s="362"/>
      <c r="W51" s="25"/>
      <c r="AB51" s="1105" t="str">
        <f t="shared" si="29"/>
        <v/>
      </c>
      <c r="AC51" s="1144">
        <f t="shared" si="30"/>
        <v>0.54</v>
      </c>
      <c r="AD51" s="1104" t="e">
        <f t="shared" si="31"/>
        <v>#VALUE!</v>
      </c>
      <c r="AE51" s="1104" t="e">
        <f t="shared" si="32"/>
        <v>#VALUE!</v>
      </c>
      <c r="AF51" s="1104" t="e">
        <f t="shared" si="33"/>
        <v>#VALUE!</v>
      </c>
      <c r="AG51" s="14">
        <f t="shared" si="34"/>
        <v>0</v>
      </c>
      <c r="AH51" s="1106" t="str">
        <f t="shared" si="35"/>
        <v/>
      </c>
      <c r="AI51" s="14">
        <f t="shared" si="36"/>
        <v>0</v>
      </c>
      <c r="AJ51" s="1107">
        <f t="shared" si="37"/>
        <v>0.5</v>
      </c>
      <c r="AK51" s="6">
        <f t="shared" si="38"/>
        <v>0</v>
      </c>
      <c r="AL51" s="1108">
        <f t="shared" si="39"/>
        <v>0</v>
      </c>
      <c r="AT51" s="266" t="s">
        <v>83</v>
      </c>
    </row>
    <row r="52" spans="2:46" ht="12.75" customHeight="1" x14ac:dyDescent="0.2">
      <c r="B52" s="21"/>
      <c r="C52" s="34"/>
      <c r="D52" s="798" t="str">
        <f t="shared" si="17"/>
        <v/>
      </c>
      <c r="E52" s="798" t="str">
        <f t="shared" si="18"/>
        <v/>
      </c>
      <c r="F52" s="798" t="str">
        <f t="shared" si="19"/>
        <v/>
      </c>
      <c r="G52" s="799" t="str">
        <f t="shared" si="20"/>
        <v/>
      </c>
      <c r="H52" s="800" t="str">
        <f t="shared" si="21"/>
        <v/>
      </c>
      <c r="I52" s="801" t="str">
        <f t="shared" si="21"/>
        <v/>
      </c>
      <c r="J52" s="799" t="str">
        <f t="shared" si="23"/>
        <v/>
      </c>
      <c r="K52" s="802" t="str">
        <f t="shared" si="22"/>
        <v/>
      </c>
      <c r="L52" s="1086"/>
      <c r="M52" s="789">
        <v>0</v>
      </c>
      <c r="N52" s="1215">
        <v>0</v>
      </c>
      <c r="O52" s="1216" t="str">
        <f t="shared" si="24"/>
        <v/>
      </c>
      <c r="P52" s="1096">
        <f t="shared" si="25"/>
        <v>0</v>
      </c>
      <c r="Q52" s="1095">
        <v>0</v>
      </c>
      <c r="R52" s="378" t="str">
        <f t="shared" si="26"/>
        <v/>
      </c>
      <c r="S52" s="378" t="str">
        <f t="shared" si="27"/>
        <v/>
      </c>
      <c r="T52" s="379">
        <f>ROUND(IF(K52="",0,+Q52/1659*(AB52*12*(1+tab!$F$79+tab!$F$80)-tab!$F$78)*tab!$F$76),-1)</f>
        <v>0</v>
      </c>
      <c r="U52" s="1111" t="str">
        <f t="shared" si="28"/>
        <v/>
      </c>
      <c r="V52" s="362"/>
      <c r="W52" s="25"/>
      <c r="AB52" s="1105" t="str">
        <f t="shared" si="29"/>
        <v/>
      </c>
      <c r="AC52" s="1144">
        <f t="shared" si="30"/>
        <v>0.54</v>
      </c>
      <c r="AD52" s="1104" t="e">
        <f t="shared" si="31"/>
        <v>#VALUE!</v>
      </c>
      <c r="AE52" s="1104" t="e">
        <f t="shared" si="32"/>
        <v>#VALUE!</v>
      </c>
      <c r="AF52" s="1104" t="e">
        <f t="shared" si="33"/>
        <v>#VALUE!</v>
      </c>
      <c r="AG52" s="14">
        <f t="shared" si="34"/>
        <v>0</v>
      </c>
      <c r="AH52" s="1106" t="str">
        <f t="shared" si="35"/>
        <v/>
      </c>
      <c r="AI52" s="14">
        <f t="shared" si="36"/>
        <v>0</v>
      </c>
      <c r="AJ52" s="1107">
        <f t="shared" si="37"/>
        <v>0.5</v>
      </c>
      <c r="AK52" s="6">
        <f t="shared" si="38"/>
        <v>0</v>
      </c>
      <c r="AL52" s="1108">
        <f t="shared" si="39"/>
        <v>0</v>
      </c>
      <c r="AT52" s="266" t="s">
        <v>84</v>
      </c>
    </row>
    <row r="53" spans="2:46" ht="12.75" customHeight="1" x14ac:dyDescent="0.2">
      <c r="B53" s="21"/>
      <c r="C53" s="34"/>
      <c r="D53" s="798" t="str">
        <f t="shared" si="17"/>
        <v/>
      </c>
      <c r="E53" s="798" t="str">
        <f t="shared" si="18"/>
        <v/>
      </c>
      <c r="F53" s="798" t="str">
        <f t="shared" si="19"/>
        <v/>
      </c>
      <c r="G53" s="799" t="str">
        <f t="shared" si="20"/>
        <v/>
      </c>
      <c r="H53" s="800" t="str">
        <f t="shared" si="21"/>
        <v/>
      </c>
      <c r="I53" s="801" t="str">
        <f t="shared" si="21"/>
        <v/>
      </c>
      <c r="J53" s="799" t="str">
        <f t="shared" si="23"/>
        <v/>
      </c>
      <c r="K53" s="802" t="str">
        <f t="shared" si="22"/>
        <v/>
      </c>
      <c r="L53" s="1086"/>
      <c r="M53" s="789">
        <v>0</v>
      </c>
      <c r="N53" s="1215">
        <v>0</v>
      </c>
      <c r="O53" s="1216" t="str">
        <f t="shared" si="24"/>
        <v/>
      </c>
      <c r="P53" s="1096">
        <f t="shared" si="25"/>
        <v>0</v>
      </c>
      <c r="Q53" s="1095">
        <v>0</v>
      </c>
      <c r="R53" s="378" t="str">
        <f t="shared" si="26"/>
        <v/>
      </c>
      <c r="S53" s="378" t="str">
        <f t="shared" si="27"/>
        <v/>
      </c>
      <c r="T53" s="379">
        <f>ROUND(IF(K53="",0,+Q53/1659*(AB53*12*(1+tab!$F$79+tab!$F$80)-tab!$F$78)*tab!$F$76),-1)</f>
        <v>0</v>
      </c>
      <c r="U53" s="1111" t="str">
        <f t="shared" si="28"/>
        <v/>
      </c>
      <c r="V53" s="362"/>
      <c r="W53" s="25"/>
      <c r="AB53" s="1105" t="str">
        <f t="shared" si="29"/>
        <v/>
      </c>
      <c r="AC53" s="1144">
        <f t="shared" si="30"/>
        <v>0.54</v>
      </c>
      <c r="AD53" s="1104" t="e">
        <f t="shared" si="31"/>
        <v>#VALUE!</v>
      </c>
      <c r="AE53" s="1104" t="e">
        <f t="shared" si="32"/>
        <v>#VALUE!</v>
      </c>
      <c r="AF53" s="1104" t="e">
        <f t="shared" si="33"/>
        <v>#VALUE!</v>
      </c>
      <c r="AG53" s="14">
        <f t="shared" si="34"/>
        <v>0</v>
      </c>
      <c r="AH53" s="1106" t="str">
        <f t="shared" si="35"/>
        <v/>
      </c>
      <c r="AI53" s="14">
        <f t="shared" si="36"/>
        <v>0</v>
      </c>
      <c r="AJ53" s="1107">
        <f t="shared" si="37"/>
        <v>0.5</v>
      </c>
      <c r="AK53" s="6">
        <f t="shared" si="38"/>
        <v>0</v>
      </c>
      <c r="AL53" s="1108">
        <f t="shared" si="39"/>
        <v>0</v>
      </c>
      <c r="AT53" s="266" t="s">
        <v>85</v>
      </c>
    </row>
    <row r="54" spans="2:46" ht="12.75" customHeight="1" x14ac:dyDescent="0.2">
      <c r="B54" s="21"/>
      <c r="C54" s="34"/>
      <c r="D54" s="798" t="str">
        <f t="shared" si="17"/>
        <v/>
      </c>
      <c r="E54" s="798" t="str">
        <f t="shared" si="18"/>
        <v/>
      </c>
      <c r="F54" s="798" t="str">
        <f t="shared" si="19"/>
        <v/>
      </c>
      <c r="G54" s="799" t="str">
        <f t="shared" si="20"/>
        <v/>
      </c>
      <c r="H54" s="800" t="str">
        <f t="shared" si="21"/>
        <v/>
      </c>
      <c r="I54" s="801" t="str">
        <f t="shared" si="21"/>
        <v/>
      </c>
      <c r="J54" s="799" t="str">
        <f t="shared" si="23"/>
        <v/>
      </c>
      <c r="K54" s="802" t="str">
        <f t="shared" si="22"/>
        <v/>
      </c>
      <c r="L54" s="1086"/>
      <c r="M54" s="789">
        <v>0</v>
      </c>
      <c r="N54" s="1215">
        <v>0</v>
      </c>
      <c r="O54" s="1216" t="str">
        <f t="shared" si="24"/>
        <v/>
      </c>
      <c r="P54" s="1096">
        <f t="shared" si="25"/>
        <v>0</v>
      </c>
      <c r="Q54" s="1095">
        <v>0</v>
      </c>
      <c r="R54" s="378" t="str">
        <f t="shared" si="26"/>
        <v/>
      </c>
      <c r="S54" s="378" t="str">
        <f t="shared" si="27"/>
        <v/>
      </c>
      <c r="T54" s="379">
        <f>ROUND(IF(K54="",0,+Q54/1659*(AB54*12*(1+tab!$F$79+tab!$F$80)-tab!$F$78)*tab!$F$76),-1)</f>
        <v>0</v>
      </c>
      <c r="U54" s="1111" t="str">
        <f t="shared" si="28"/>
        <v/>
      </c>
      <c r="V54" s="362"/>
      <c r="W54" s="25"/>
      <c r="AB54" s="1105" t="str">
        <f t="shared" si="29"/>
        <v/>
      </c>
      <c r="AC54" s="1144">
        <f t="shared" si="30"/>
        <v>0.54</v>
      </c>
      <c r="AD54" s="1104" t="e">
        <f t="shared" si="31"/>
        <v>#VALUE!</v>
      </c>
      <c r="AE54" s="1104" t="e">
        <f t="shared" si="32"/>
        <v>#VALUE!</v>
      </c>
      <c r="AF54" s="1104" t="e">
        <f t="shared" si="33"/>
        <v>#VALUE!</v>
      </c>
      <c r="AG54" s="14">
        <f t="shared" si="34"/>
        <v>0</v>
      </c>
      <c r="AH54" s="1106" t="str">
        <f t="shared" si="35"/>
        <v/>
      </c>
      <c r="AI54" s="14">
        <f t="shared" si="36"/>
        <v>0</v>
      </c>
      <c r="AJ54" s="1107">
        <f t="shared" si="37"/>
        <v>0.5</v>
      </c>
      <c r="AK54" s="6">
        <f t="shared" si="38"/>
        <v>0</v>
      </c>
      <c r="AL54" s="1108">
        <f t="shared" si="39"/>
        <v>0</v>
      </c>
      <c r="AT54" s="267">
        <v>11</v>
      </c>
    </row>
    <row r="55" spans="2:46" ht="12.75" customHeight="1" x14ac:dyDescent="0.2">
      <c r="B55" s="21"/>
      <c r="C55" s="34"/>
      <c r="D55" s="798" t="str">
        <f t="shared" si="17"/>
        <v/>
      </c>
      <c r="E55" s="798" t="str">
        <f t="shared" si="18"/>
        <v/>
      </c>
      <c r="F55" s="798" t="str">
        <f t="shared" si="19"/>
        <v/>
      </c>
      <c r="G55" s="799" t="str">
        <f t="shared" si="20"/>
        <v/>
      </c>
      <c r="H55" s="800" t="str">
        <f t="shared" si="21"/>
        <v/>
      </c>
      <c r="I55" s="801" t="str">
        <f t="shared" si="21"/>
        <v/>
      </c>
      <c r="J55" s="799" t="str">
        <f t="shared" si="23"/>
        <v/>
      </c>
      <c r="K55" s="802" t="str">
        <f t="shared" si="22"/>
        <v/>
      </c>
      <c r="L55" s="1086"/>
      <c r="M55" s="789">
        <v>0</v>
      </c>
      <c r="N55" s="1215">
        <v>0</v>
      </c>
      <c r="O55" s="1216" t="str">
        <f t="shared" si="24"/>
        <v/>
      </c>
      <c r="P55" s="1096">
        <f t="shared" si="25"/>
        <v>0</v>
      </c>
      <c r="Q55" s="1095">
        <v>0</v>
      </c>
      <c r="R55" s="378" t="str">
        <f t="shared" si="26"/>
        <v/>
      </c>
      <c r="S55" s="378" t="str">
        <f t="shared" si="27"/>
        <v/>
      </c>
      <c r="T55" s="379">
        <f>ROUND(IF(K55="",0,+Q55/1659*(AB55*12*(1+tab!$F$79+tab!$F$80)-tab!$F$78)*tab!$F$76),-1)</f>
        <v>0</v>
      </c>
      <c r="U55" s="1111" t="str">
        <f t="shared" si="28"/>
        <v/>
      </c>
      <c r="V55" s="362"/>
      <c r="W55" s="25"/>
      <c r="AB55" s="1105" t="str">
        <f t="shared" si="29"/>
        <v/>
      </c>
      <c r="AC55" s="1144">
        <f t="shared" si="30"/>
        <v>0.54</v>
      </c>
      <c r="AD55" s="1104" t="e">
        <f t="shared" si="31"/>
        <v>#VALUE!</v>
      </c>
      <c r="AE55" s="1104" t="e">
        <f t="shared" si="32"/>
        <v>#VALUE!</v>
      </c>
      <c r="AF55" s="1104" t="e">
        <f t="shared" si="33"/>
        <v>#VALUE!</v>
      </c>
      <c r="AG55" s="14">
        <f t="shared" si="34"/>
        <v>0</v>
      </c>
      <c r="AH55" s="1106" t="str">
        <f t="shared" si="35"/>
        <v/>
      </c>
      <c r="AI55" s="14">
        <f t="shared" si="36"/>
        <v>0</v>
      </c>
      <c r="AJ55" s="1107">
        <f t="shared" si="37"/>
        <v>0.5</v>
      </c>
      <c r="AK55" s="6">
        <f t="shared" si="38"/>
        <v>0</v>
      </c>
      <c r="AL55" s="1108">
        <f t="shared" si="39"/>
        <v>0</v>
      </c>
      <c r="AT55" s="267">
        <v>12</v>
      </c>
    </row>
    <row r="56" spans="2:46" ht="12.75" customHeight="1" x14ac:dyDescent="0.2">
      <c r="B56" s="21"/>
      <c r="C56" s="34"/>
      <c r="D56" s="798" t="str">
        <f t="shared" si="17"/>
        <v/>
      </c>
      <c r="E56" s="798" t="str">
        <f t="shared" si="18"/>
        <v/>
      </c>
      <c r="F56" s="798" t="str">
        <f t="shared" si="19"/>
        <v/>
      </c>
      <c r="G56" s="799" t="str">
        <f t="shared" si="20"/>
        <v/>
      </c>
      <c r="H56" s="800" t="str">
        <f t="shared" si="21"/>
        <v/>
      </c>
      <c r="I56" s="801" t="str">
        <f t="shared" si="21"/>
        <v/>
      </c>
      <c r="J56" s="799" t="str">
        <f t="shared" si="23"/>
        <v/>
      </c>
      <c r="K56" s="802" t="str">
        <f t="shared" si="22"/>
        <v/>
      </c>
      <c r="L56" s="1086"/>
      <c r="M56" s="789">
        <v>0</v>
      </c>
      <c r="N56" s="1215">
        <v>0</v>
      </c>
      <c r="O56" s="1216" t="str">
        <f t="shared" si="24"/>
        <v/>
      </c>
      <c r="P56" s="1096">
        <f t="shared" si="25"/>
        <v>0</v>
      </c>
      <c r="Q56" s="1095">
        <v>0</v>
      </c>
      <c r="R56" s="378" t="str">
        <f t="shared" si="26"/>
        <v/>
      </c>
      <c r="S56" s="378" t="str">
        <f t="shared" si="27"/>
        <v/>
      </c>
      <c r="T56" s="379">
        <f>ROUND(IF(K56="",0,+Q56/1659*(AB56*12*(1+tab!$F$79+tab!$F$80)-tab!$F$78)*tab!$F$76),-1)</f>
        <v>0</v>
      </c>
      <c r="U56" s="1111" t="str">
        <f t="shared" si="28"/>
        <v/>
      </c>
      <c r="V56" s="362"/>
      <c r="W56" s="25"/>
      <c r="AB56" s="1105" t="str">
        <f t="shared" si="29"/>
        <v/>
      </c>
      <c r="AC56" s="1144">
        <f t="shared" si="30"/>
        <v>0.54</v>
      </c>
      <c r="AD56" s="1104" t="e">
        <f t="shared" si="31"/>
        <v>#VALUE!</v>
      </c>
      <c r="AE56" s="1104" t="e">
        <f t="shared" si="32"/>
        <v>#VALUE!</v>
      </c>
      <c r="AF56" s="1104" t="e">
        <f t="shared" si="33"/>
        <v>#VALUE!</v>
      </c>
      <c r="AG56" s="14">
        <f t="shared" si="34"/>
        <v>0</v>
      </c>
      <c r="AH56" s="1106" t="str">
        <f t="shared" si="35"/>
        <v/>
      </c>
      <c r="AI56" s="14">
        <f t="shared" si="36"/>
        <v>0</v>
      </c>
      <c r="AJ56" s="1107">
        <f t="shared" si="37"/>
        <v>0.5</v>
      </c>
      <c r="AK56" s="6">
        <f t="shared" si="38"/>
        <v>0</v>
      </c>
      <c r="AL56" s="1108">
        <f t="shared" si="39"/>
        <v>0</v>
      </c>
      <c r="AT56" s="267">
        <v>13</v>
      </c>
    </row>
    <row r="57" spans="2:46" ht="12.75" customHeight="1" x14ac:dyDescent="0.2">
      <c r="B57" s="21"/>
      <c r="C57" s="34"/>
      <c r="D57" s="798" t="str">
        <f t="shared" si="17"/>
        <v/>
      </c>
      <c r="E57" s="798" t="str">
        <f t="shared" si="18"/>
        <v/>
      </c>
      <c r="F57" s="798" t="str">
        <f t="shared" si="19"/>
        <v/>
      </c>
      <c r="G57" s="799" t="str">
        <f t="shared" si="20"/>
        <v/>
      </c>
      <c r="H57" s="800" t="str">
        <f t="shared" si="21"/>
        <v/>
      </c>
      <c r="I57" s="801" t="str">
        <f t="shared" si="21"/>
        <v/>
      </c>
      <c r="J57" s="799" t="str">
        <f t="shared" si="23"/>
        <v/>
      </c>
      <c r="K57" s="802" t="str">
        <f t="shared" si="22"/>
        <v/>
      </c>
      <c r="L57" s="1086"/>
      <c r="M57" s="789">
        <v>0</v>
      </c>
      <c r="N57" s="1215">
        <v>0</v>
      </c>
      <c r="O57" s="1216" t="str">
        <f t="shared" si="24"/>
        <v/>
      </c>
      <c r="P57" s="1096">
        <f t="shared" si="25"/>
        <v>0</v>
      </c>
      <c r="Q57" s="1095">
        <v>0</v>
      </c>
      <c r="R57" s="378" t="str">
        <f t="shared" si="26"/>
        <v/>
      </c>
      <c r="S57" s="378" t="str">
        <f t="shared" si="27"/>
        <v/>
      </c>
      <c r="T57" s="379">
        <f>ROUND(IF(K57="",0,+Q57/1659*(AB57*12*(1+tab!$F$79+tab!$F$80)-tab!$F$78)*tab!$F$76),-1)</f>
        <v>0</v>
      </c>
      <c r="U57" s="1111" t="str">
        <f t="shared" si="28"/>
        <v/>
      </c>
      <c r="V57" s="362"/>
      <c r="W57" s="25"/>
      <c r="AB57" s="1105" t="str">
        <f t="shared" si="29"/>
        <v/>
      </c>
      <c r="AC57" s="1144">
        <f t="shared" si="30"/>
        <v>0.54</v>
      </c>
      <c r="AD57" s="1104" t="e">
        <f t="shared" si="31"/>
        <v>#VALUE!</v>
      </c>
      <c r="AE57" s="1104" t="e">
        <f t="shared" si="32"/>
        <v>#VALUE!</v>
      </c>
      <c r="AF57" s="1104" t="e">
        <f t="shared" si="33"/>
        <v>#VALUE!</v>
      </c>
      <c r="AG57" s="14">
        <f t="shared" si="34"/>
        <v>0</v>
      </c>
      <c r="AH57" s="1106" t="str">
        <f t="shared" si="35"/>
        <v/>
      </c>
      <c r="AI57" s="14">
        <f t="shared" si="36"/>
        <v>0</v>
      </c>
      <c r="AJ57" s="1107">
        <f t="shared" si="37"/>
        <v>0.5</v>
      </c>
      <c r="AK57" s="6">
        <f t="shared" si="38"/>
        <v>0</v>
      </c>
      <c r="AL57" s="1108">
        <f t="shared" si="39"/>
        <v>0</v>
      </c>
      <c r="AT57" s="267">
        <v>14</v>
      </c>
    </row>
    <row r="58" spans="2:46" ht="12.75" customHeight="1" x14ac:dyDescent="0.2">
      <c r="B58" s="21"/>
      <c r="C58" s="34"/>
      <c r="D58" s="798" t="str">
        <f t="shared" si="17"/>
        <v/>
      </c>
      <c r="E58" s="798" t="str">
        <f t="shared" si="18"/>
        <v/>
      </c>
      <c r="F58" s="798" t="str">
        <f t="shared" si="19"/>
        <v/>
      </c>
      <c r="G58" s="799" t="str">
        <f t="shared" si="20"/>
        <v/>
      </c>
      <c r="H58" s="800" t="str">
        <f t="shared" si="21"/>
        <v/>
      </c>
      <c r="I58" s="801" t="str">
        <f t="shared" si="21"/>
        <v/>
      </c>
      <c r="J58" s="799" t="str">
        <f t="shared" si="23"/>
        <v/>
      </c>
      <c r="K58" s="802" t="str">
        <f t="shared" si="22"/>
        <v/>
      </c>
      <c r="L58" s="1086"/>
      <c r="M58" s="789">
        <v>0</v>
      </c>
      <c r="N58" s="1215">
        <v>0</v>
      </c>
      <c r="O58" s="1216" t="str">
        <f t="shared" si="24"/>
        <v/>
      </c>
      <c r="P58" s="1096">
        <f t="shared" si="25"/>
        <v>0</v>
      </c>
      <c r="Q58" s="1095">
        <v>0</v>
      </c>
      <c r="R58" s="378" t="str">
        <f t="shared" si="26"/>
        <v/>
      </c>
      <c r="S58" s="378" t="str">
        <f t="shared" si="27"/>
        <v/>
      </c>
      <c r="T58" s="379">
        <f>ROUND(IF(K58="",0,+Q58/1659*(AB58*12*(1+tab!$F$79+tab!$F$80)-tab!$F$78)*tab!$F$76),-1)</f>
        <v>0</v>
      </c>
      <c r="U58" s="1111" t="str">
        <f t="shared" si="28"/>
        <v/>
      </c>
      <c r="V58" s="362"/>
      <c r="W58" s="25"/>
      <c r="AB58" s="1105" t="str">
        <f t="shared" si="29"/>
        <v/>
      </c>
      <c r="AC58" s="1144">
        <f t="shared" si="30"/>
        <v>0.54</v>
      </c>
      <c r="AD58" s="1104" t="e">
        <f t="shared" si="31"/>
        <v>#VALUE!</v>
      </c>
      <c r="AE58" s="1104" t="e">
        <f t="shared" si="32"/>
        <v>#VALUE!</v>
      </c>
      <c r="AF58" s="1104" t="e">
        <f t="shared" si="33"/>
        <v>#VALUE!</v>
      </c>
      <c r="AG58" s="14">
        <f t="shared" si="34"/>
        <v>0</v>
      </c>
      <c r="AH58" s="1106" t="str">
        <f t="shared" si="35"/>
        <v/>
      </c>
      <c r="AI58" s="14">
        <f t="shared" si="36"/>
        <v>0</v>
      </c>
      <c r="AJ58" s="1107">
        <f t="shared" si="37"/>
        <v>0.5</v>
      </c>
      <c r="AK58" s="6">
        <f t="shared" si="38"/>
        <v>0</v>
      </c>
      <c r="AL58" s="1108">
        <f t="shared" si="39"/>
        <v>0</v>
      </c>
      <c r="AT58" s="267" t="s">
        <v>90</v>
      </c>
    </row>
    <row r="59" spans="2:46" ht="12.75" customHeight="1" x14ac:dyDescent="0.2">
      <c r="B59" s="21"/>
      <c r="C59" s="34"/>
      <c r="D59" s="798" t="str">
        <f t="shared" si="17"/>
        <v/>
      </c>
      <c r="E59" s="798" t="str">
        <f t="shared" si="18"/>
        <v/>
      </c>
      <c r="F59" s="798" t="str">
        <f t="shared" si="19"/>
        <v/>
      </c>
      <c r="G59" s="799" t="str">
        <f t="shared" si="20"/>
        <v/>
      </c>
      <c r="H59" s="800" t="str">
        <f t="shared" si="21"/>
        <v/>
      </c>
      <c r="I59" s="801" t="str">
        <f t="shared" si="21"/>
        <v/>
      </c>
      <c r="J59" s="799" t="str">
        <f t="shared" si="23"/>
        <v/>
      </c>
      <c r="K59" s="802" t="str">
        <f t="shared" si="22"/>
        <v/>
      </c>
      <c r="L59" s="1086"/>
      <c r="M59" s="789">
        <v>0</v>
      </c>
      <c r="N59" s="1215">
        <v>0</v>
      </c>
      <c r="O59" s="1216" t="str">
        <f t="shared" si="24"/>
        <v/>
      </c>
      <c r="P59" s="1096">
        <f t="shared" si="25"/>
        <v>0</v>
      </c>
      <c r="Q59" s="1095">
        <v>0</v>
      </c>
      <c r="R59" s="378" t="str">
        <f t="shared" si="26"/>
        <v/>
      </c>
      <c r="S59" s="378" t="str">
        <f t="shared" si="27"/>
        <v/>
      </c>
      <c r="T59" s="379">
        <f>ROUND(IF(K59="",0,+Q59/1659*(AB59*12*(1+tab!$F$79+tab!$F$80)-tab!$F$78)*tab!$F$76),-1)</f>
        <v>0</v>
      </c>
      <c r="U59" s="1111" t="str">
        <f t="shared" si="28"/>
        <v/>
      </c>
      <c r="V59" s="362"/>
      <c r="W59" s="25"/>
      <c r="AB59" s="1105" t="str">
        <f t="shared" si="29"/>
        <v/>
      </c>
      <c r="AC59" s="1144">
        <f t="shared" si="30"/>
        <v>0.54</v>
      </c>
      <c r="AD59" s="1104" t="e">
        <f t="shared" si="31"/>
        <v>#VALUE!</v>
      </c>
      <c r="AE59" s="1104" t="e">
        <f t="shared" si="32"/>
        <v>#VALUE!</v>
      </c>
      <c r="AF59" s="1104" t="e">
        <f t="shared" si="33"/>
        <v>#VALUE!</v>
      </c>
      <c r="AG59" s="14">
        <f t="shared" si="34"/>
        <v>0</v>
      </c>
      <c r="AH59" s="1106" t="str">
        <f t="shared" si="35"/>
        <v/>
      </c>
      <c r="AI59" s="14">
        <f t="shared" si="36"/>
        <v>0</v>
      </c>
      <c r="AJ59" s="1107">
        <f t="shared" si="37"/>
        <v>0.5</v>
      </c>
      <c r="AK59" s="6">
        <f t="shared" si="38"/>
        <v>0</v>
      </c>
      <c r="AL59" s="1108">
        <f t="shared" si="39"/>
        <v>0</v>
      </c>
      <c r="AT59" s="267"/>
    </row>
    <row r="60" spans="2:46" ht="12.75" customHeight="1" x14ac:dyDescent="0.2">
      <c r="B60" s="21"/>
      <c r="C60" s="34"/>
      <c r="D60" s="798" t="str">
        <f t="shared" si="17"/>
        <v/>
      </c>
      <c r="E60" s="798" t="str">
        <f t="shared" si="18"/>
        <v/>
      </c>
      <c r="F60" s="798" t="str">
        <f t="shared" si="19"/>
        <v/>
      </c>
      <c r="G60" s="799" t="str">
        <f t="shared" si="20"/>
        <v/>
      </c>
      <c r="H60" s="800" t="str">
        <f t="shared" si="21"/>
        <v/>
      </c>
      <c r="I60" s="801" t="str">
        <f t="shared" si="21"/>
        <v/>
      </c>
      <c r="J60" s="799" t="str">
        <f t="shared" si="23"/>
        <v/>
      </c>
      <c r="K60" s="802" t="str">
        <f t="shared" si="22"/>
        <v/>
      </c>
      <c r="L60" s="1086"/>
      <c r="M60" s="789">
        <v>0</v>
      </c>
      <c r="N60" s="1215">
        <v>0</v>
      </c>
      <c r="O60" s="1216" t="str">
        <f t="shared" si="24"/>
        <v/>
      </c>
      <c r="P60" s="1096">
        <f t="shared" si="25"/>
        <v>0</v>
      </c>
      <c r="Q60" s="1095">
        <v>0</v>
      </c>
      <c r="R60" s="378" t="str">
        <f t="shared" si="26"/>
        <v/>
      </c>
      <c r="S60" s="378" t="str">
        <f t="shared" si="27"/>
        <v/>
      </c>
      <c r="T60" s="379">
        <f>ROUND(IF(K60="",0,+Q60/1659*(AB60*12*(1+tab!$F$79+tab!$F$80)-tab!$F$78)*tab!$F$76),-1)</f>
        <v>0</v>
      </c>
      <c r="U60" s="1111" t="str">
        <f t="shared" si="28"/>
        <v/>
      </c>
      <c r="V60" s="362"/>
      <c r="W60" s="25"/>
      <c r="AB60" s="1105" t="str">
        <f t="shared" si="29"/>
        <v/>
      </c>
      <c r="AC60" s="1144">
        <f t="shared" si="30"/>
        <v>0.54</v>
      </c>
      <c r="AD60" s="1104" t="e">
        <f t="shared" si="31"/>
        <v>#VALUE!</v>
      </c>
      <c r="AE60" s="1104" t="e">
        <f t="shared" si="32"/>
        <v>#VALUE!</v>
      </c>
      <c r="AF60" s="1104" t="e">
        <f t="shared" si="33"/>
        <v>#VALUE!</v>
      </c>
      <c r="AG60" s="14">
        <f t="shared" si="34"/>
        <v>0</v>
      </c>
      <c r="AH60" s="1106" t="str">
        <f t="shared" si="35"/>
        <v/>
      </c>
      <c r="AI60" s="14">
        <f t="shared" si="36"/>
        <v>0</v>
      </c>
      <c r="AJ60" s="1107">
        <f t="shared" si="37"/>
        <v>0.5</v>
      </c>
      <c r="AK60" s="6">
        <f t="shared" si="38"/>
        <v>0</v>
      </c>
      <c r="AL60" s="1108">
        <f t="shared" si="39"/>
        <v>0</v>
      </c>
      <c r="AT60" s="267"/>
    </row>
    <row r="61" spans="2:46" ht="12.75" customHeight="1" x14ac:dyDescent="0.2">
      <c r="B61" s="21"/>
      <c r="C61" s="34"/>
      <c r="D61" s="798" t="str">
        <f t="shared" si="17"/>
        <v/>
      </c>
      <c r="E61" s="798" t="str">
        <f t="shared" si="18"/>
        <v/>
      </c>
      <c r="F61" s="798" t="str">
        <f t="shared" si="19"/>
        <v/>
      </c>
      <c r="G61" s="799" t="str">
        <f t="shared" si="20"/>
        <v/>
      </c>
      <c r="H61" s="800" t="str">
        <f t="shared" si="21"/>
        <v/>
      </c>
      <c r="I61" s="801" t="str">
        <f t="shared" si="21"/>
        <v/>
      </c>
      <c r="J61" s="799" t="str">
        <f t="shared" si="23"/>
        <v/>
      </c>
      <c r="K61" s="802" t="str">
        <f t="shared" si="22"/>
        <v/>
      </c>
      <c r="L61" s="1086"/>
      <c r="M61" s="789">
        <v>0</v>
      </c>
      <c r="N61" s="1215">
        <v>0</v>
      </c>
      <c r="O61" s="1216" t="str">
        <f t="shared" si="24"/>
        <v/>
      </c>
      <c r="P61" s="1096">
        <f t="shared" si="25"/>
        <v>0</v>
      </c>
      <c r="Q61" s="1095">
        <v>0</v>
      </c>
      <c r="R61" s="378" t="str">
        <f t="shared" si="26"/>
        <v/>
      </c>
      <c r="S61" s="378" t="str">
        <f t="shared" si="27"/>
        <v/>
      </c>
      <c r="T61" s="379">
        <f>ROUND(IF(K61="",0,+Q61/1659*(AB61*12*(1+tab!$F$79+tab!$F$80)-tab!$F$78)*tab!$F$76),-1)</f>
        <v>0</v>
      </c>
      <c r="U61" s="1111" t="str">
        <f t="shared" si="28"/>
        <v/>
      </c>
      <c r="V61" s="362"/>
      <c r="W61" s="25"/>
      <c r="AB61" s="1105" t="str">
        <f t="shared" si="29"/>
        <v/>
      </c>
      <c r="AC61" s="1144">
        <f t="shared" si="30"/>
        <v>0.54</v>
      </c>
      <c r="AD61" s="1104" t="e">
        <f t="shared" si="31"/>
        <v>#VALUE!</v>
      </c>
      <c r="AE61" s="1104" t="e">
        <f t="shared" si="32"/>
        <v>#VALUE!</v>
      </c>
      <c r="AF61" s="1104" t="e">
        <f t="shared" si="33"/>
        <v>#VALUE!</v>
      </c>
      <c r="AG61" s="14">
        <f t="shared" si="34"/>
        <v>0</v>
      </c>
      <c r="AH61" s="1106" t="str">
        <f t="shared" si="35"/>
        <v/>
      </c>
      <c r="AI61" s="14">
        <f t="shared" si="36"/>
        <v>0</v>
      </c>
      <c r="AJ61" s="1107">
        <f t="shared" si="37"/>
        <v>0.5</v>
      </c>
      <c r="AK61" s="6">
        <f t="shared" si="38"/>
        <v>0</v>
      </c>
      <c r="AL61" s="1108">
        <f t="shared" si="39"/>
        <v>0</v>
      </c>
      <c r="AT61" s="267"/>
    </row>
    <row r="62" spans="2:46" ht="12.75" customHeight="1" x14ac:dyDescent="0.2">
      <c r="B62" s="21"/>
      <c r="C62" s="34"/>
      <c r="D62" s="798" t="str">
        <f t="shared" si="17"/>
        <v/>
      </c>
      <c r="E62" s="798" t="str">
        <f t="shared" si="18"/>
        <v/>
      </c>
      <c r="F62" s="798" t="str">
        <f t="shared" si="19"/>
        <v/>
      </c>
      <c r="G62" s="799" t="str">
        <f t="shared" si="20"/>
        <v/>
      </c>
      <c r="H62" s="800" t="str">
        <f t="shared" si="21"/>
        <v/>
      </c>
      <c r="I62" s="801" t="str">
        <f t="shared" si="21"/>
        <v/>
      </c>
      <c r="J62" s="799" t="str">
        <f t="shared" si="23"/>
        <v/>
      </c>
      <c r="K62" s="802" t="str">
        <f t="shared" si="22"/>
        <v/>
      </c>
      <c r="L62" s="1086"/>
      <c r="M62" s="789">
        <v>0</v>
      </c>
      <c r="N62" s="1215">
        <v>0</v>
      </c>
      <c r="O62" s="1216" t="str">
        <f t="shared" si="24"/>
        <v/>
      </c>
      <c r="P62" s="1096">
        <f t="shared" si="25"/>
        <v>0</v>
      </c>
      <c r="Q62" s="1095">
        <v>0</v>
      </c>
      <c r="R62" s="378" t="str">
        <f t="shared" si="26"/>
        <v/>
      </c>
      <c r="S62" s="378" t="str">
        <f t="shared" si="27"/>
        <v/>
      </c>
      <c r="T62" s="379">
        <f>ROUND(IF(K62="",0,+Q62/1659*(AB62*12*(1+tab!$F$79+tab!$F$80)-tab!$F$78)*tab!$F$76),-1)</f>
        <v>0</v>
      </c>
      <c r="U62" s="1111" t="str">
        <f t="shared" si="28"/>
        <v/>
      </c>
      <c r="V62" s="362"/>
      <c r="W62" s="25"/>
      <c r="AB62" s="1105" t="str">
        <f t="shared" si="29"/>
        <v/>
      </c>
      <c r="AC62" s="1144">
        <f t="shared" si="30"/>
        <v>0.54</v>
      </c>
      <c r="AD62" s="1104" t="e">
        <f t="shared" si="31"/>
        <v>#VALUE!</v>
      </c>
      <c r="AE62" s="1104" t="e">
        <f t="shared" si="32"/>
        <v>#VALUE!</v>
      </c>
      <c r="AF62" s="1104" t="e">
        <f t="shared" si="33"/>
        <v>#VALUE!</v>
      </c>
      <c r="AG62" s="14">
        <f t="shared" si="34"/>
        <v>0</v>
      </c>
      <c r="AH62" s="1106" t="str">
        <f t="shared" si="35"/>
        <v/>
      </c>
      <c r="AI62" s="14">
        <f t="shared" si="36"/>
        <v>0</v>
      </c>
      <c r="AJ62" s="1107">
        <f t="shared" si="37"/>
        <v>0.5</v>
      </c>
      <c r="AK62" s="6">
        <f t="shared" si="38"/>
        <v>0</v>
      </c>
      <c r="AL62" s="1108">
        <f t="shared" si="39"/>
        <v>0</v>
      </c>
      <c r="AT62" s="267"/>
    </row>
    <row r="63" spans="2:46" ht="12.75" customHeight="1" x14ac:dyDescent="0.2">
      <c r="B63" s="21"/>
      <c r="C63" s="34"/>
      <c r="D63" s="798" t="str">
        <f t="shared" si="17"/>
        <v/>
      </c>
      <c r="E63" s="798" t="str">
        <f t="shared" si="18"/>
        <v/>
      </c>
      <c r="F63" s="798" t="str">
        <f t="shared" si="19"/>
        <v/>
      </c>
      <c r="G63" s="799" t="str">
        <f t="shared" si="20"/>
        <v/>
      </c>
      <c r="H63" s="800" t="str">
        <f t="shared" si="21"/>
        <v/>
      </c>
      <c r="I63" s="801" t="str">
        <f t="shared" si="21"/>
        <v/>
      </c>
      <c r="J63" s="799" t="str">
        <f t="shared" si="23"/>
        <v/>
      </c>
      <c r="K63" s="802" t="str">
        <f t="shared" si="22"/>
        <v/>
      </c>
      <c r="L63" s="1086"/>
      <c r="M63" s="789">
        <v>0</v>
      </c>
      <c r="N63" s="1215">
        <v>0</v>
      </c>
      <c r="O63" s="1216" t="str">
        <f t="shared" si="24"/>
        <v/>
      </c>
      <c r="P63" s="1096">
        <f t="shared" si="25"/>
        <v>0</v>
      </c>
      <c r="Q63" s="1095">
        <v>0</v>
      </c>
      <c r="R63" s="378" t="str">
        <f t="shared" si="26"/>
        <v/>
      </c>
      <c r="S63" s="378" t="str">
        <f t="shared" si="27"/>
        <v/>
      </c>
      <c r="T63" s="379">
        <f>ROUND(IF(K63="",0,+Q63/1659*(AB63*12*(1+tab!$F$79+tab!$F$80)-tab!$F$78)*tab!$F$76),-1)</f>
        <v>0</v>
      </c>
      <c r="U63" s="1111" t="str">
        <f t="shared" si="28"/>
        <v/>
      </c>
      <c r="V63" s="362"/>
      <c r="W63" s="25"/>
      <c r="AB63" s="1105" t="str">
        <f t="shared" si="29"/>
        <v/>
      </c>
      <c r="AC63" s="1144">
        <f t="shared" si="30"/>
        <v>0.54</v>
      </c>
      <c r="AD63" s="1104" t="e">
        <f t="shared" si="31"/>
        <v>#VALUE!</v>
      </c>
      <c r="AE63" s="1104" t="e">
        <f t="shared" si="32"/>
        <v>#VALUE!</v>
      </c>
      <c r="AF63" s="1104" t="e">
        <f t="shared" si="33"/>
        <v>#VALUE!</v>
      </c>
      <c r="AG63" s="14">
        <f t="shared" si="34"/>
        <v>0</v>
      </c>
      <c r="AH63" s="1106" t="str">
        <f t="shared" si="35"/>
        <v/>
      </c>
      <c r="AI63" s="14">
        <f t="shared" si="36"/>
        <v>0</v>
      </c>
      <c r="AJ63" s="1107">
        <f t="shared" si="37"/>
        <v>0.5</v>
      </c>
      <c r="AK63" s="6">
        <f t="shared" si="38"/>
        <v>0</v>
      </c>
      <c r="AL63" s="1108">
        <f t="shared" si="39"/>
        <v>0</v>
      </c>
      <c r="AT63" s="267"/>
    </row>
    <row r="64" spans="2:46" ht="12.75" customHeight="1" x14ac:dyDescent="0.2">
      <c r="B64" s="21"/>
      <c r="C64" s="34"/>
      <c r="D64" s="798" t="str">
        <f t="shared" si="17"/>
        <v/>
      </c>
      <c r="E64" s="798" t="str">
        <f t="shared" si="18"/>
        <v/>
      </c>
      <c r="F64" s="798" t="str">
        <f t="shared" si="19"/>
        <v/>
      </c>
      <c r="G64" s="799" t="str">
        <f t="shared" si="20"/>
        <v/>
      </c>
      <c r="H64" s="800" t="str">
        <f t="shared" si="21"/>
        <v/>
      </c>
      <c r="I64" s="801" t="str">
        <f t="shared" si="21"/>
        <v/>
      </c>
      <c r="J64" s="799" t="str">
        <f t="shared" si="23"/>
        <v/>
      </c>
      <c r="K64" s="802" t="str">
        <f t="shared" si="22"/>
        <v/>
      </c>
      <c r="L64" s="1086"/>
      <c r="M64" s="789">
        <v>0</v>
      </c>
      <c r="N64" s="1215">
        <v>0</v>
      </c>
      <c r="O64" s="1216" t="str">
        <f t="shared" si="24"/>
        <v/>
      </c>
      <c r="P64" s="1096">
        <f t="shared" si="25"/>
        <v>0</v>
      </c>
      <c r="Q64" s="1095">
        <v>0</v>
      </c>
      <c r="R64" s="378" t="str">
        <f t="shared" si="26"/>
        <v/>
      </c>
      <c r="S64" s="378" t="str">
        <f t="shared" si="27"/>
        <v/>
      </c>
      <c r="T64" s="379">
        <f>ROUND(IF(K64="",0,+Q64/1659*(AB64*12*(1+tab!$F$79+tab!$F$80)-tab!$F$78)*tab!$F$76),-1)</f>
        <v>0</v>
      </c>
      <c r="U64" s="1111" t="str">
        <f t="shared" si="28"/>
        <v/>
      </c>
      <c r="V64" s="362"/>
      <c r="W64" s="25"/>
      <c r="AB64" s="1105" t="str">
        <f t="shared" si="29"/>
        <v/>
      </c>
      <c r="AC64" s="1144">
        <f t="shared" si="30"/>
        <v>0.54</v>
      </c>
      <c r="AD64" s="1104" t="e">
        <f t="shared" si="31"/>
        <v>#VALUE!</v>
      </c>
      <c r="AE64" s="1104" t="e">
        <f t="shared" si="32"/>
        <v>#VALUE!</v>
      </c>
      <c r="AF64" s="1104" t="e">
        <f t="shared" si="33"/>
        <v>#VALUE!</v>
      </c>
      <c r="AG64" s="14">
        <f t="shared" si="34"/>
        <v>0</v>
      </c>
      <c r="AH64" s="1106" t="str">
        <f t="shared" si="35"/>
        <v/>
      </c>
      <c r="AI64" s="14">
        <f t="shared" si="36"/>
        <v>0</v>
      </c>
      <c r="AJ64" s="1107">
        <f t="shared" si="37"/>
        <v>0.5</v>
      </c>
      <c r="AK64" s="6">
        <f t="shared" si="38"/>
        <v>0</v>
      </c>
      <c r="AL64" s="1108">
        <f t="shared" si="39"/>
        <v>0</v>
      </c>
      <c r="AT64" s="267"/>
    </row>
    <row r="65" spans="2:46" ht="12.75" customHeight="1" x14ac:dyDescent="0.2">
      <c r="B65" s="21"/>
      <c r="C65" s="34"/>
      <c r="D65" s="798" t="str">
        <f t="shared" si="17"/>
        <v/>
      </c>
      <c r="E65" s="798" t="str">
        <f t="shared" si="18"/>
        <v/>
      </c>
      <c r="F65" s="798" t="str">
        <f t="shared" si="19"/>
        <v/>
      </c>
      <c r="G65" s="799" t="str">
        <f t="shared" si="20"/>
        <v/>
      </c>
      <c r="H65" s="800" t="str">
        <f t="shared" si="21"/>
        <v/>
      </c>
      <c r="I65" s="801" t="str">
        <f t="shared" si="21"/>
        <v/>
      </c>
      <c r="J65" s="799" t="str">
        <f t="shared" si="23"/>
        <v/>
      </c>
      <c r="K65" s="802" t="str">
        <f t="shared" si="22"/>
        <v/>
      </c>
      <c r="L65" s="1086"/>
      <c r="M65" s="789">
        <v>0</v>
      </c>
      <c r="N65" s="1215">
        <v>0</v>
      </c>
      <c r="O65" s="1216" t="str">
        <f t="shared" si="24"/>
        <v/>
      </c>
      <c r="P65" s="1096">
        <f t="shared" si="25"/>
        <v>0</v>
      </c>
      <c r="Q65" s="1095">
        <v>0</v>
      </c>
      <c r="R65" s="378" t="str">
        <f t="shared" si="26"/>
        <v/>
      </c>
      <c r="S65" s="378" t="str">
        <f t="shared" si="27"/>
        <v/>
      </c>
      <c r="T65" s="379">
        <f>ROUND(IF(K65="",0,+Q65/1659*(AB65*12*(1+tab!$F$79+tab!$F$80)-tab!$F$78)*tab!$F$76),-1)</f>
        <v>0</v>
      </c>
      <c r="U65" s="1111" t="str">
        <f t="shared" si="28"/>
        <v/>
      </c>
      <c r="V65" s="362"/>
      <c r="W65" s="25"/>
      <c r="AB65" s="1105" t="str">
        <f t="shared" si="29"/>
        <v/>
      </c>
      <c r="AC65" s="1144">
        <f t="shared" si="30"/>
        <v>0.54</v>
      </c>
      <c r="AD65" s="1104" t="e">
        <f t="shared" si="31"/>
        <v>#VALUE!</v>
      </c>
      <c r="AE65" s="1104" t="e">
        <f t="shared" si="32"/>
        <v>#VALUE!</v>
      </c>
      <c r="AF65" s="1104" t="e">
        <f t="shared" si="33"/>
        <v>#VALUE!</v>
      </c>
      <c r="AG65" s="14">
        <f t="shared" si="34"/>
        <v>0</v>
      </c>
      <c r="AH65" s="1106" t="str">
        <f t="shared" si="35"/>
        <v/>
      </c>
      <c r="AI65" s="14">
        <f t="shared" si="36"/>
        <v>0</v>
      </c>
      <c r="AJ65" s="1107">
        <f t="shared" si="37"/>
        <v>0.5</v>
      </c>
      <c r="AK65" s="6">
        <f t="shared" si="38"/>
        <v>0</v>
      </c>
      <c r="AL65" s="1108">
        <f t="shared" si="39"/>
        <v>0</v>
      </c>
      <c r="AT65" s="267"/>
    </row>
    <row r="66" spans="2:46" ht="12.75" customHeight="1" x14ac:dyDescent="0.2">
      <c r="B66" s="21"/>
      <c r="C66" s="34"/>
      <c r="D66" s="798" t="str">
        <f t="shared" si="17"/>
        <v/>
      </c>
      <c r="E66" s="798" t="str">
        <f t="shared" si="18"/>
        <v/>
      </c>
      <c r="F66" s="798" t="str">
        <f t="shared" si="19"/>
        <v/>
      </c>
      <c r="G66" s="799" t="str">
        <f t="shared" si="20"/>
        <v/>
      </c>
      <c r="H66" s="800" t="str">
        <f t="shared" si="21"/>
        <v/>
      </c>
      <c r="I66" s="801" t="str">
        <f t="shared" si="21"/>
        <v/>
      </c>
      <c r="J66" s="799" t="str">
        <f t="shared" si="23"/>
        <v/>
      </c>
      <c r="K66" s="802" t="str">
        <f t="shared" si="22"/>
        <v/>
      </c>
      <c r="L66" s="1086"/>
      <c r="M66" s="789">
        <v>0</v>
      </c>
      <c r="N66" s="1215">
        <v>0</v>
      </c>
      <c r="O66" s="1216" t="str">
        <f t="shared" si="24"/>
        <v/>
      </c>
      <c r="P66" s="1096">
        <f t="shared" si="25"/>
        <v>0</v>
      </c>
      <c r="Q66" s="1095">
        <v>0</v>
      </c>
      <c r="R66" s="378" t="str">
        <f t="shared" si="26"/>
        <v/>
      </c>
      <c r="S66" s="378" t="str">
        <f t="shared" si="27"/>
        <v/>
      </c>
      <c r="T66" s="379">
        <f>ROUND(IF(K66="",0,+Q66/1659*(AB66*12*(1+tab!$F$79+tab!$F$80)-tab!$F$78)*tab!$F$76),-1)</f>
        <v>0</v>
      </c>
      <c r="U66" s="1111" t="str">
        <f t="shared" si="28"/>
        <v/>
      </c>
      <c r="V66" s="362"/>
      <c r="W66" s="25"/>
      <c r="AB66" s="1105" t="str">
        <f t="shared" si="29"/>
        <v/>
      </c>
      <c r="AC66" s="1144">
        <f t="shared" si="30"/>
        <v>0.54</v>
      </c>
      <c r="AD66" s="1104" t="e">
        <f t="shared" si="31"/>
        <v>#VALUE!</v>
      </c>
      <c r="AE66" s="1104" t="e">
        <f t="shared" si="32"/>
        <v>#VALUE!</v>
      </c>
      <c r="AF66" s="1104" t="e">
        <f t="shared" si="33"/>
        <v>#VALUE!</v>
      </c>
      <c r="AG66" s="14">
        <f t="shared" si="34"/>
        <v>0</v>
      </c>
      <c r="AH66" s="1106" t="str">
        <f t="shared" si="35"/>
        <v/>
      </c>
      <c r="AI66" s="14">
        <f t="shared" si="36"/>
        <v>0</v>
      </c>
      <c r="AJ66" s="1107">
        <f t="shared" si="37"/>
        <v>0.5</v>
      </c>
      <c r="AK66" s="6">
        <f t="shared" si="38"/>
        <v>0</v>
      </c>
      <c r="AL66" s="1108">
        <f t="shared" si="39"/>
        <v>0</v>
      </c>
      <c r="AT66" s="267"/>
    </row>
    <row r="67" spans="2:46" ht="12.75" customHeight="1" x14ac:dyDescent="0.2">
      <c r="B67" s="21"/>
      <c r="C67" s="34"/>
      <c r="D67" s="363"/>
      <c r="E67" s="363"/>
      <c r="F67" s="363"/>
      <c r="G67" s="188"/>
      <c r="H67" s="364"/>
      <c r="I67" s="188"/>
      <c r="J67" s="365"/>
      <c r="K67" s="380">
        <f>SUM(K47:K66)</f>
        <v>1</v>
      </c>
      <c r="L67" s="1079"/>
      <c r="M67" s="1094">
        <f t="shared" ref="M67:U67" si="40">SUM(M47:M66)</f>
        <v>0</v>
      </c>
      <c r="N67" s="1094">
        <f t="shared" si="40"/>
        <v>0</v>
      </c>
      <c r="O67" s="1094">
        <f t="shared" si="40"/>
        <v>50</v>
      </c>
      <c r="P67" s="1094">
        <f t="shared" si="40"/>
        <v>50</v>
      </c>
      <c r="Q67" s="1094">
        <f t="shared" si="40"/>
        <v>0</v>
      </c>
      <c r="R67" s="1109">
        <f t="shared" si="40"/>
        <v>72168.60599156117</v>
      </c>
      <c r="S67" s="1109">
        <f t="shared" si="40"/>
        <v>2242.6540084388184</v>
      </c>
      <c r="T67" s="1109">
        <f t="shared" si="40"/>
        <v>0</v>
      </c>
      <c r="U67" s="1110">
        <f t="shared" si="40"/>
        <v>74411.259999999995</v>
      </c>
      <c r="V67" s="348"/>
      <c r="W67" s="25"/>
      <c r="AB67" s="1105">
        <f>SUM(AB47:AB66)</f>
        <v>4026.5833333333335</v>
      </c>
      <c r="AL67" s="1108">
        <f>SUM(AL47:AL66)</f>
        <v>0</v>
      </c>
      <c r="AT67" s="267"/>
    </row>
    <row r="68" spans="2:46" ht="12.75" customHeight="1" x14ac:dyDescent="0.2">
      <c r="B68" s="21"/>
      <c r="C68" s="34"/>
      <c r="D68" s="183"/>
      <c r="E68" s="183"/>
      <c r="F68" s="183"/>
      <c r="G68" s="182"/>
      <c r="H68" s="189"/>
      <c r="I68" s="182"/>
      <c r="J68" s="348"/>
      <c r="K68" s="349"/>
      <c r="L68" s="1083"/>
      <c r="M68" s="349"/>
      <c r="N68" s="348"/>
      <c r="O68" s="348"/>
      <c r="P68" s="366"/>
      <c r="Q68" s="366"/>
      <c r="R68" s="366"/>
      <c r="S68" s="366"/>
      <c r="T68" s="352"/>
      <c r="U68" s="367"/>
      <c r="V68" s="348"/>
      <c r="W68" s="25"/>
    </row>
    <row r="69" spans="2:46" ht="12.75" customHeight="1" x14ac:dyDescent="0.2">
      <c r="B69" s="21"/>
      <c r="C69" s="22"/>
      <c r="D69" s="293"/>
      <c r="E69" s="293"/>
      <c r="F69" s="293"/>
      <c r="G69" s="24"/>
      <c r="H69" s="294"/>
      <c r="I69" s="24"/>
      <c r="J69" s="295"/>
      <c r="K69" s="343"/>
      <c r="L69" s="1080"/>
      <c r="M69" s="296"/>
      <c r="N69" s="22"/>
      <c r="O69" s="344"/>
      <c r="P69" s="345"/>
      <c r="Q69" s="345"/>
      <c r="R69" s="345"/>
      <c r="S69" s="345"/>
      <c r="T69" s="346"/>
      <c r="U69" s="347"/>
      <c r="V69" s="22"/>
      <c r="W69" s="25"/>
    </row>
    <row r="70" spans="2:46" ht="12.75" customHeight="1" x14ac:dyDescent="0.2">
      <c r="B70" s="21"/>
      <c r="C70" s="22"/>
      <c r="D70" s="293"/>
      <c r="E70" s="293"/>
      <c r="F70" s="293"/>
      <c r="G70" s="24"/>
      <c r="H70" s="294"/>
      <c r="I70" s="24"/>
      <c r="J70" s="295"/>
      <c r="K70" s="343"/>
      <c r="L70" s="1080"/>
      <c r="M70" s="296"/>
      <c r="N70" s="22"/>
      <c r="O70" s="344"/>
      <c r="P70" s="345"/>
      <c r="Q70" s="345"/>
      <c r="R70" s="345"/>
      <c r="S70" s="345"/>
      <c r="T70" s="346"/>
      <c r="U70" s="347"/>
      <c r="V70" s="22"/>
      <c r="W70" s="25"/>
    </row>
    <row r="71" spans="2:46" ht="12.75" customHeight="1" x14ac:dyDescent="0.2">
      <c r="B71" s="21"/>
      <c r="C71" s="22" t="s">
        <v>119</v>
      </c>
      <c r="D71" s="293"/>
      <c r="E71" s="339" t="str">
        <f>tab!G2</f>
        <v>2020/21</v>
      </c>
      <c r="F71" s="293"/>
      <c r="G71" s="24"/>
      <c r="H71" s="294"/>
      <c r="I71" s="24"/>
      <c r="J71" s="295"/>
      <c r="K71" s="343"/>
      <c r="L71" s="1080"/>
      <c r="M71" s="296"/>
      <c r="N71" s="22"/>
      <c r="O71" s="344"/>
      <c r="P71" s="345"/>
      <c r="Q71" s="345"/>
      <c r="R71" s="345"/>
      <c r="S71" s="345"/>
      <c r="T71" s="346"/>
      <c r="U71" s="347"/>
      <c r="V71" s="22"/>
      <c r="W71" s="25"/>
    </row>
    <row r="72" spans="2:46" ht="12.75" customHeight="1" x14ac:dyDescent="0.2">
      <c r="B72" s="21"/>
      <c r="C72" s="22" t="s">
        <v>120</v>
      </c>
      <c r="D72" s="293"/>
      <c r="E72" s="339">
        <f>tab!H3</f>
        <v>44105</v>
      </c>
      <c r="F72" s="293"/>
      <c r="G72" s="24"/>
      <c r="H72" s="294"/>
      <c r="I72" s="24"/>
      <c r="J72" s="295"/>
      <c r="K72" s="343"/>
      <c r="L72" s="1080"/>
      <c r="M72" s="296"/>
      <c r="N72" s="22"/>
      <c r="O72" s="344"/>
      <c r="P72" s="345"/>
      <c r="Q72" s="345"/>
      <c r="R72" s="345"/>
      <c r="S72" s="345"/>
      <c r="T72" s="346"/>
      <c r="U72" s="347"/>
      <c r="V72" s="22"/>
      <c r="W72" s="25"/>
    </row>
    <row r="73" spans="2:46" ht="12.75" customHeight="1" x14ac:dyDescent="0.2">
      <c r="B73" s="21"/>
      <c r="C73" s="459" t="s">
        <v>475</v>
      </c>
      <c r="D73" s="293"/>
      <c r="E73" s="293"/>
      <c r="F73" s="293"/>
      <c r="G73" s="24"/>
      <c r="H73" s="294"/>
      <c r="I73" s="24"/>
      <c r="J73" s="295"/>
      <c r="K73" s="343"/>
      <c r="L73" s="1080"/>
      <c r="M73" s="296"/>
      <c r="N73" s="22"/>
      <c r="O73" s="344"/>
      <c r="P73" s="345"/>
      <c r="Q73" s="345"/>
      <c r="R73" s="345"/>
      <c r="S73" s="345"/>
      <c r="T73" s="346"/>
      <c r="U73" s="347"/>
      <c r="V73" s="22"/>
      <c r="W73" s="25"/>
    </row>
    <row r="74" spans="2:46" ht="12.75" customHeight="1" x14ac:dyDescent="0.2">
      <c r="B74" s="21"/>
      <c r="C74" s="34"/>
      <c r="D74" s="183"/>
      <c r="E74" s="92"/>
      <c r="F74" s="183"/>
      <c r="G74" s="182"/>
      <c r="H74" s="189"/>
      <c r="I74" s="348"/>
      <c r="J74" s="348"/>
      <c r="K74" s="349"/>
      <c r="L74" s="1083"/>
      <c r="M74" s="350"/>
      <c r="N74" s="34"/>
      <c r="O74" s="351"/>
      <c r="P74" s="34"/>
      <c r="Q74" s="34"/>
      <c r="R74" s="34"/>
      <c r="S74" s="34"/>
      <c r="T74" s="352"/>
      <c r="U74" s="353"/>
      <c r="V74" s="34"/>
      <c r="W74" s="25"/>
      <c r="X74" s="852"/>
      <c r="AC74" s="1097"/>
      <c r="AD74" s="1098"/>
      <c r="AE74" s="1097"/>
      <c r="AF74" s="1097"/>
      <c r="AG74" s="1097"/>
      <c r="AH74" s="1099"/>
      <c r="AI74" s="1100"/>
      <c r="AJ74" s="1101"/>
      <c r="AK74" s="1102"/>
      <c r="AL74" s="1103"/>
      <c r="AM74" s="255"/>
    </row>
    <row r="75" spans="2:46" s="1077" customFormat="1" ht="12.75" customHeight="1" x14ac:dyDescent="0.2">
      <c r="B75" s="1075"/>
      <c r="C75" s="1076"/>
      <c r="D75" s="1072" t="s">
        <v>121</v>
      </c>
      <c r="E75" s="1073"/>
      <c r="F75" s="1073"/>
      <c r="G75" s="1073"/>
      <c r="H75" s="1073"/>
      <c r="I75" s="1073"/>
      <c r="J75" s="1073"/>
      <c r="K75" s="1073"/>
      <c r="L75" s="1081"/>
      <c r="M75" s="1112" t="s">
        <v>649</v>
      </c>
      <c r="N75" s="1113"/>
      <c r="O75" s="1114"/>
      <c r="P75" s="1114"/>
      <c r="Q75" s="1113"/>
      <c r="R75" s="1115" t="s">
        <v>650</v>
      </c>
      <c r="S75" s="1116"/>
      <c r="T75" s="1116"/>
      <c r="U75" s="1116"/>
      <c r="V75" s="1117"/>
      <c r="W75" s="1118"/>
      <c r="X75" s="1119"/>
      <c r="Y75" s="1120"/>
      <c r="Z75" s="1121"/>
      <c r="AA75" s="1121"/>
      <c r="AB75" s="1122"/>
      <c r="AC75" s="1123"/>
      <c r="AD75" s="1124"/>
      <c r="AE75" s="1123"/>
      <c r="AF75" s="1125"/>
      <c r="AG75" s="1125"/>
      <c r="AH75" s="1126"/>
      <c r="AI75" s="1127"/>
      <c r="AJ75" s="1126"/>
      <c r="AK75" s="1128"/>
      <c r="AL75" s="1128"/>
      <c r="AN75" s="259"/>
      <c r="AO75" s="259"/>
    </row>
    <row r="76" spans="2:46" s="208" customFormat="1" ht="12.75" customHeight="1" x14ac:dyDescent="0.2">
      <c r="B76" s="211"/>
      <c r="C76" s="354"/>
      <c r="D76" s="369" t="s">
        <v>122</v>
      </c>
      <c r="E76" s="369" t="s">
        <v>123</v>
      </c>
      <c r="F76" s="369" t="s">
        <v>124</v>
      </c>
      <c r="G76" s="370" t="s">
        <v>125</v>
      </c>
      <c r="H76" s="371" t="s">
        <v>126</v>
      </c>
      <c r="I76" s="370" t="s">
        <v>91</v>
      </c>
      <c r="J76" s="370" t="s">
        <v>127</v>
      </c>
      <c r="K76" s="372" t="s">
        <v>128</v>
      </c>
      <c r="L76" s="1084"/>
      <c r="M76" s="1129" t="s">
        <v>651</v>
      </c>
      <c r="N76" s="1130" t="s">
        <v>652</v>
      </c>
      <c r="O76" s="1131" t="s">
        <v>653</v>
      </c>
      <c r="P76" s="1132" t="s">
        <v>654</v>
      </c>
      <c r="Q76" s="1130" t="s">
        <v>655</v>
      </c>
      <c r="R76" s="1131" t="s">
        <v>129</v>
      </c>
      <c r="S76" s="1129" t="s">
        <v>656</v>
      </c>
      <c r="T76" s="1129" t="s">
        <v>657</v>
      </c>
      <c r="U76" s="1129" t="s">
        <v>129</v>
      </c>
      <c r="V76" s="1133"/>
      <c r="W76" s="1134"/>
      <c r="X76" s="1135"/>
      <c r="Y76" s="1136"/>
      <c r="Z76" s="1137"/>
      <c r="AA76" s="1137"/>
      <c r="AB76" s="1141" t="s">
        <v>253</v>
      </c>
      <c r="AC76" s="1142" t="s">
        <v>658</v>
      </c>
      <c r="AD76" s="1143" t="s">
        <v>659</v>
      </c>
      <c r="AE76" s="1143" t="s">
        <v>659</v>
      </c>
      <c r="AF76" s="1143" t="s">
        <v>660</v>
      </c>
      <c r="AG76" s="1143" t="s">
        <v>655</v>
      </c>
      <c r="AH76" s="1143" t="s">
        <v>661</v>
      </c>
      <c r="AI76" s="1143" t="s">
        <v>662</v>
      </c>
      <c r="AJ76" s="1143" t="s">
        <v>663</v>
      </c>
      <c r="AK76" s="1143" t="s">
        <v>131</v>
      </c>
      <c r="AL76" s="1006" t="s">
        <v>266</v>
      </c>
      <c r="AN76" s="259"/>
      <c r="AO76" s="261"/>
    </row>
    <row r="77" spans="2:46" ht="12.75" customHeight="1" x14ac:dyDescent="0.2">
      <c r="B77" s="21"/>
      <c r="C77" s="354"/>
      <c r="D77" s="374"/>
      <c r="E77" s="369"/>
      <c r="F77" s="375"/>
      <c r="G77" s="370" t="s">
        <v>133</v>
      </c>
      <c r="H77" s="371" t="s">
        <v>134</v>
      </c>
      <c r="I77" s="370"/>
      <c r="J77" s="370"/>
      <c r="K77" s="372"/>
      <c r="L77" s="1084"/>
      <c r="M77" s="1138" t="s">
        <v>664</v>
      </c>
      <c r="N77" s="1130" t="s">
        <v>665</v>
      </c>
      <c r="O77" s="1131" t="s">
        <v>666</v>
      </c>
      <c r="P77" s="1132" t="s">
        <v>71</v>
      </c>
      <c r="Q77" s="1130" t="s">
        <v>667</v>
      </c>
      <c r="R77" s="1131" t="s">
        <v>668</v>
      </c>
      <c r="S77" s="1139" t="s">
        <v>669</v>
      </c>
      <c r="T77" s="1139" t="s">
        <v>670</v>
      </c>
      <c r="U77" s="1129" t="s">
        <v>71</v>
      </c>
      <c r="V77" s="1133"/>
      <c r="W77" s="1134"/>
      <c r="X77" s="1135"/>
      <c r="Y77" s="1140"/>
      <c r="Z77" s="1137"/>
      <c r="AA77" s="1137"/>
      <c r="AB77" s="1143" t="s">
        <v>671</v>
      </c>
      <c r="AC77" s="1144">
        <f>tab!$E$69</f>
        <v>0.54</v>
      </c>
      <c r="AD77" s="1143" t="s">
        <v>672</v>
      </c>
      <c r="AE77" s="1143" t="s">
        <v>673</v>
      </c>
      <c r="AF77" s="1143" t="s">
        <v>674</v>
      </c>
      <c r="AG77" s="1143" t="s">
        <v>667</v>
      </c>
      <c r="AH77" s="1143" t="s">
        <v>675</v>
      </c>
      <c r="AI77" s="1143" t="s">
        <v>675</v>
      </c>
      <c r="AJ77" s="1143" t="s">
        <v>676</v>
      </c>
      <c r="AK77" s="1143"/>
      <c r="AL77" s="1143" t="s">
        <v>130</v>
      </c>
      <c r="AM77" s="6"/>
      <c r="AO77" s="265"/>
    </row>
    <row r="78" spans="2:46" ht="12.75" customHeight="1" x14ac:dyDescent="0.2">
      <c r="B78" s="21"/>
      <c r="C78" s="34"/>
      <c r="D78" s="183"/>
      <c r="E78" s="183"/>
      <c r="F78" s="183"/>
      <c r="G78" s="182"/>
      <c r="H78" s="189"/>
      <c r="I78" s="355"/>
      <c r="J78" s="355"/>
      <c r="K78" s="356"/>
      <c r="L78" s="1085"/>
      <c r="M78" s="356"/>
      <c r="N78" s="357"/>
      <c r="O78" s="358"/>
      <c r="P78" s="359"/>
      <c r="Q78" s="359"/>
      <c r="R78" s="359"/>
      <c r="S78" s="359"/>
      <c r="T78" s="360"/>
      <c r="U78" s="361"/>
      <c r="V78" s="357"/>
      <c r="W78" s="25"/>
      <c r="AC78" s="6"/>
      <c r="AD78" s="6"/>
      <c r="AL78" s="6"/>
      <c r="AM78" s="6"/>
      <c r="AO78" s="265"/>
    </row>
    <row r="79" spans="2:46" x14ac:dyDescent="0.2">
      <c r="B79" s="21"/>
      <c r="C79" s="34"/>
      <c r="D79" s="798" t="str">
        <f t="shared" ref="D79:D98" si="41">IF(D47=0,"",D47)</f>
        <v/>
      </c>
      <c r="E79" s="798" t="str">
        <f t="shared" ref="E79:E98" si="42">IF(E47="","",E47)</f>
        <v>piet</v>
      </c>
      <c r="F79" s="798" t="str">
        <f t="shared" ref="F79:F98" si="43">IF(F47=0,"",F47)</f>
        <v>chef</v>
      </c>
      <c r="G79" s="799">
        <f t="shared" ref="G79:G98" si="44">IF(G47="","",G47+1)</f>
        <v>24</v>
      </c>
      <c r="H79" s="800">
        <f t="shared" ref="H79:I98" si="45">IF(H47=0,"",H47)</f>
        <v>25600</v>
      </c>
      <c r="I79" s="801" t="str">
        <f t="shared" si="45"/>
        <v>LD</v>
      </c>
      <c r="J79" s="799">
        <f t="shared" ref="J79:J98" si="46">IF(E79="","",IF(J47&lt;VLOOKUP(I79,salmrt2020,18,FALSE),J47+1,J47))</f>
        <v>8</v>
      </c>
      <c r="K79" s="802">
        <f t="shared" ref="K79:K98" si="47">IF(K47="","",K47)</f>
        <v>1</v>
      </c>
      <c r="L79" s="1086"/>
      <c r="M79" s="789">
        <v>0</v>
      </c>
      <c r="N79" s="1215">
        <v>0</v>
      </c>
      <c r="O79" s="1216">
        <f>IF(K79="","",K79*50)</f>
        <v>50</v>
      </c>
      <c r="P79" s="1096">
        <f>SUM(M79:O79)</f>
        <v>50</v>
      </c>
      <c r="Q79" s="1095">
        <v>0</v>
      </c>
      <c r="R79" s="378">
        <f>IF(K79="","",(1659*K79-P79)*AE79)</f>
        <v>77893.523037974679</v>
      </c>
      <c r="S79" s="378">
        <f>IF(K79="","",P79*AF79+AD79*(AH79+AI79*(1-AJ79)))</f>
        <v>2420.5569620253164</v>
      </c>
      <c r="T79" s="379">
        <f>ROUND(IF(K79="",0,+Q79/1659*(AB79*12*(1+tab!$G$79+tab!$G$80)-tab!$G$78)*tab!$G$76),-1)</f>
        <v>0</v>
      </c>
      <c r="U79" s="1111">
        <f>IF(K79="","",IF(E79=0,0,(R79+S79+T79)))</f>
        <v>80314.080000000002</v>
      </c>
      <c r="V79" s="362"/>
      <c r="W79" s="25"/>
      <c r="AB79" s="1105">
        <f t="shared" ref="AB79:AB98" si="48">IF(I79="","",VLOOKUP(I79,salaug2020,J79+1,FALSE)*5/12+VLOOKUP(I79,salaug2020,J79+1,FALSE)*7/12)</f>
        <v>4346</v>
      </c>
      <c r="AC79" s="1144">
        <f>AC$77</f>
        <v>0.54</v>
      </c>
      <c r="AD79" s="1104">
        <f>AB79*12/1659</f>
        <v>31.435804701627486</v>
      </c>
      <c r="AE79" s="1104">
        <f>AB79*12*(1+AC79)/1659</f>
        <v>48.41113924050633</v>
      </c>
      <c r="AF79" s="1104">
        <f>+AE79-AD79</f>
        <v>16.975334538878844</v>
      </c>
      <c r="AG79" s="14">
        <f>Q79</f>
        <v>0</v>
      </c>
      <c r="AH79" s="1106">
        <f>O79</f>
        <v>50</v>
      </c>
      <c r="AI79" s="14">
        <f>(M79+N79)</f>
        <v>0</v>
      </c>
      <c r="AJ79" s="1107">
        <f>IF(I79&gt;8,50%,40%)</f>
        <v>0.5</v>
      </c>
      <c r="AK79" s="6">
        <f>IF(G79&lt;25,0,IF(G79=25,25,IF(G79&lt;40,0,IF(G79=40,40,IF(G79&gt;=40,0)))))</f>
        <v>0</v>
      </c>
      <c r="AL79" s="1108">
        <f>IF(AK79=25,AB79*1.08*K79/2,IF(AK79=40,AB79*1.08*K79,0))</f>
        <v>0</v>
      </c>
    </row>
    <row r="80" spans="2:46" x14ac:dyDescent="0.2">
      <c r="B80" s="21"/>
      <c r="C80" s="34"/>
      <c r="D80" s="798" t="str">
        <f t="shared" si="41"/>
        <v/>
      </c>
      <c r="E80" s="798" t="str">
        <f t="shared" si="42"/>
        <v/>
      </c>
      <c r="F80" s="798" t="str">
        <f t="shared" si="43"/>
        <v/>
      </c>
      <c r="G80" s="799" t="str">
        <f t="shared" si="44"/>
        <v/>
      </c>
      <c r="H80" s="800" t="str">
        <f t="shared" si="45"/>
        <v/>
      </c>
      <c r="I80" s="801" t="str">
        <f t="shared" si="45"/>
        <v/>
      </c>
      <c r="J80" s="799" t="str">
        <f t="shared" si="46"/>
        <v/>
      </c>
      <c r="K80" s="802" t="str">
        <f t="shared" si="47"/>
        <v/>
      </c>
      <c r="L80" s="1086"/>
      <c r="M80" s="789">
        <v>0</v>
      </c>
      <c r="N80" s="1215">
        <v>0</v>
      </c>
      <c r="O80" s="1216" t="str">
        <f t="shared" ref="O80:O98" si="49">IF(K80="","",K80*50)</f>
        <v/>
      </c>
      <c r="P80" s="1096">
        <f t="shared" ref="P80:P98" si="50">SUM(M80:O80)</f>
        <v>0</v>
      </c>
      <c r="Q80" s="1095">
        <v>0</v>
      </c>
      <c r="R80" s="378" t="str">
        <f t="shared" ref="R80:R98" si="51">IF(K80="","",(1659*K80-P80)*AE80)</f>
        <v/>
      </c>
      <c r="S80" s="378" t="str">
        <f t="shared" ref="S80:S98" si="52">IF(K80="","",P80*AF80+AD80*(AH80+AI80*(1-AJ80)))</f>
        <v/>
      </c>
      <c r="T80" s="379">
        <f>ROUND(IF(K80="",0,+Q80/1659*(AB80*12*(1+tab!$G$79+tab!$G$80)-tab!$G$78)*tab!$G$76),-1)</f>
        <v>0</v>
      </c>
      <c r="U80" s="1111" t="str">
        <f t="shared" ref="U80:U98" si="53">IF(K80="","",IF(E80=0,0,(R80+S80+T80)))</f>
        <v/>
      </c>
      <c r="V80" s="362"/>
      <c r="W80" s="25"/>
      <c r="AB80" s="1105" t="str">
        <f t="shared" si="48"/>
        <v/>
      </c>
      <c r="AC80" s="1144">
        <f t="shared" ref="AC80:AC98" si="54">AC$77</f>
        <v>0.54</v>
      </c>
      <c r="AD80" s="1104" t="e">
        <f t="shared" ref="AD80:AD98" si="55">AB80*12/1659</f>
        <v>#VALUE!</v>
      </c>
      <c r="AE80" s="1104" t="e">
        <f t="shared" ref="AE80:AE98" si="56">AB80*12*(1+AC80)/1659</f>
        <v>#VALUE!</v>
      </c>
      <c r="AF80" s="1104" t="e">
        <f t="shared" ref="AF80:AF98" si="57">+AE80-AD80</f>
        <v>#VALUE!</v>
      </c>
      <c r="AG80" s="14">
        <f t="shared" ref="AG80:AG98" si="58">Q80</f>
        <v>0</v>
      </c>
      <c r="AH80" s="1106" t="str">
        <f t="shared" ref="AH80:AH98" si="59">O80</f>
        <v/>
      </c>
      <c r="AI80" s="14">
        <f t="shared" ref="AI80:AI98" si="60">(M80+N80)</f>
        <v>0</v>
      </c>
      <c r="AJ80" s="1107">
        <f t="shared" ref="AJ80:AJ98" si="61">IF(I80&gt;8,50%,40%)</f>
        <v>0.5</v>
      </c>
      <c r="AK80" s="6">
        <f t="shared" ref="AK80:AK98" si="62">IF(G80&lt;25,0,IF(G80=25,25,IF(G80&lt;40,0,IF(G80=40,40,IF(G80&gt;=40,0)))))</f>
        <v>0</v>
      </c>
      <c r="AL80" s="1108">
        <f t="shared" ref="AL80:AL98" si="63">IF(AK80=25,AB80*1.08*K80/2,IF(AK80=40,AB80*1.08*K80,0))</f>
        <v>0</v>
      </c>
    </row>
    <row r="81" spans="2:46" x14ac:dyDescent="0.2">
      <c r="B81" s="21"/>
      <c r="C81" s="34"/>
      <c r="D81" s="798" t="str">
        <f t="shared" si="41"/>
        <v/>
      </c>
      <c r="E81" s="798" t="str">
        <f t="shared" si="42"/>
        <v/>
      </c>
      <c r="F81" s="798" t="str">
        <f t="shared" si="43"/>
        <v/>
      </c>
      <c r="G81" s="799" t="str">
        <f t="shared" si="44"/>
        <v/>
      </c>
      <c r="H81" s="800" t="str">
        <f t="shared" si="45"/>
        <v/>
      </c>
      <c r="I81" s="801" t="str">
        <f t="shared" si="45"/>
        <v/>
      </c>
      <c r="J81" s="799" t="str">
        <f t="shared" si="46"/>
        <v/>
      </c>
      <c r="K81" s="802" t="str">
        <f t="shared" si="47"/>
        <v/>
      </c>
      <c r="L81" s="1086"/>
      <c r="M81" s="789">
        <v>0</v>
      </c>
      <c r="N81" s="1215">
        <v>0</v>
      </c>
      <c r="O81" s="1216" t="str">
        <f t="shared" si="49"/>
        <v/>
      </c>
      <c r="P81" s="1096">
        <f t="shared" si="50"/>
        <v>0</v>
      </c>
      <c r="Q81" s="1095">
        <v>0</v>
      </c>
      <c r="R81" s="378" t="str">
        <f t="shared" si="51"/>
        <v/>
      </c>
      <c r="S81" s="378" t="str">
        <f t="shared" si="52"/>
        <v/>
      </c>
      <c r="T81" s="379">
        <f>ROUND(IF(K81="",0,+Q81/1659*(AB81*12*(1+tab!$G$79+tab!$G$80)-tab!$G$78)*tab!$G$76),-1)</f>
        <v>0</v>
      </c>
      <c r="U81" s="1111" t="str">
        <f t="shared" si="53"/>
        <v/>
      </c>
      <c r="V81" s="362"/>
      <c r="W81" s="25"/>
      <c r="AB81" s="1105" t="str">
        <f t="shared" si="48"/>
        <v/>
      </c>
      <c r="AC81" s="1144">
        <f t="shared" si="54"/>
        <v>0.54</v>
      </c>
      <c r="AD81" s="1104" t="e">
        <f t="shared" si="55"/>
        <v>#VALUE!</v>
      </c>
      <c r="AE81" s="1104" t="e">
        <f t="shared" si="56"/>
        <v>#VALUE!</v>
      </c>
      <c r="AF81" s="1104" t="e">
        <f t="shared" si="57"/>
        <v>#VALUE!</v>
      </c>
      <c r="AG81" s="14">
        <f t="shared" si="58"/>
        <v>0</v>
      </c>
      <c r="AH81" s="1106" t="str">
        <f t="shared" si="59"/>
        <v/>
      </c>
      <c r="AI81" s="14">
        <f t="shared" si="60"/>
        <v>0</v>
      </c>
      <c r="AJ81" s="1107">
        <f t="shared" si="61"/>
        <v>0.5</v>
      </c>
      <c r="AK81" s="6">
        <f t="shared" si="62"/>
        <v>0</v>
      </c>
      <c r="AL81" s="1108">
        <f t="shared" si="63"/>
        <v>0</v>
      </c>
      <c r="AT81" s="267"/>
    </row>
    <row r="82" spans="2:46" x14ac:dyDescent="0.2">
      <c r="B82" s="21"/>
      <c r="C82" s="34"/>
      <c r="D82" s="798" t="str">
        <f t="shared" si="41"/>
        <v/>
      </c>
      <c r="E82" s="798" t="str">
        <f t="shared" si="42"/>
        <v/>
      </c>
      <c r="F82" s="798" t="str">
        <f t="shared" si="43"/>
        <v/>
      </c>
      <c r="G82" s="799" t="str">
        <f t="shared" si="44"/>
        <v/>
      </c>
      <c r="H82" s="800" t="str">
        <f t="shared" si="45"/>
        <v/>
      </c>
      <c r="I82" s="801" t="str">
        <f t="shared" si="45"/>
        <v/>
      </c>
      <c r="J82" s="799" t="str">
        <f t="shared" si="46"/>
        <v/>
      </c>
      <c r="K82" s="802" t="str">
        <f t="shared" si="47"/>
        <v/>
      </c>
      <c r="L82" s="1086"/>
      <c r="M82" s="789">
        <v>0</v>
      </c>
      <c r="N82" s="1215">
        <v>0</v>
      </c>
      <c r="O82" s="1216" t="str">
        <f t="shared" si="49"/>
        <v/>
      </c>
      <c r="P82" s="1096">
        <f t="shared" si="50"/>
        <v>0</v>
      </c>
      <c r="Q82" s="1095">
        <v>0</v>
      </c>
      <c r="R82" s="378" t="str">
        <f t="shared" si="51"/>
        <v/>
      </c>
      <c r="S82" s="378" t="str">
        <f t="shared" si="52"/>
        <v/>
      </c>
      <c r="T82" s="379">
        <f>ROUND(IF(K82="",0,+Q82/1659*(AB82*12*(1+tab!$G$79+tab!$G$80)-tab!$G$78)*tab!$G$76),-1)</f>
        <v>0</v>
      </c>
      <c r="U82" s="1111" t="str">
        <f t="shared" si="53"/>
        <v/>
      </c>
      <c r="V82" s="362"/>
      <c r="W82" s="25"/>
      <c r="AB82" s="1105" t="str">
        <f t="shared" si="48"/>
        <v/>
      </c>
      <c r="AC82" s="1144">
        <f t="shared" si="54"/>
        <v>0.54</v>
      </c>
      <c r="AD82" s="1104" t="e">
        <f t="shared" si="55"/>
        <v>#VALUE!</v>
      </c>
      <c r="AE82" s="1104" t="e">
        <f t="shared" si="56"/>
        <v>#VALUE!</v>
      </c>
      <c r="AF82" s="1104" t="e">
        <f t="shared" si="57"/>
        <v>#VALUE!</v>
      </c>
      <c r="AG82" s="14">
        <f t="shared" si="58"/>
        <v>0</v>
      </c>
      <c r="AH82" s="1106" t="str">
        <f t="shared" si="59"/>
        <v/>
      </c>
      <c r="AI82" s="14">
        <f t="shared" si="60"/>
        <v>0</v>
      </c>
      <c r="AJ82" s="1107">
        <f t="shared" si="61"/>
        <v>0.5</v>
      </c>
      <c r="AK82" s="6">
        <f t="shared" si="62"/>
        <v>0</v>
      </c>
      <c r="AL82" s="1108">
        <f t="shared" si="63"/>
        <v>0</v>
      </c>
      <c r="AT82" s="267"/>
    </row>
    <row r="83" spans="2:46" x14ac:dyDescent="0.2">
      <c r="B83" s="21"/>
      <c r="C83" s="34"/>
      <c r="D83" s="798" t="str">
        <f t="shared" si="41"/>
        <v/>
      </c>
      <c r="E83" s="798" t="str">
        <f t="shared" si="42"/>
        <v/>
      </c>
      <c r="F83" s="798" t="str">
        <f t="shared" si="43"/>
        <v/>
      </c>
      <c r="G83" s="799" t="str">
        <f t="shared" si="44"/>
        <v/>
      </c>
      <c r="H83" s="800" t="str">
        <f t="shared" si="45"/>
        <v/>
      </c>
      <c r="I83" s="801" t="str">
        <f t="shared" si="45"/>
        <v/>
      </c>
      <c r="J83" s="799" t="str">
        <f t="shared" si="46"/>
        <v/>
      </c>
      <c r="K83" s="802" t="str">
        <f t="shared" si="47"/>
        <v/>
      </c>
      <c r="L83" s="1086"/>
      <c r="M83" s="789">
        <v>0</v>
      </c>
      <c r="N83" s="1215">
        <v>0</v>
      </c>
      <c r="O83" s="1216" t="str">
        <f t="shared" si="49"/>
        <v/>
      </c>
      <c r="P83" s="1096">
        <f t="shared" si="50"/>
        <v>0</v>
      </c>
      <c r="Q83" s="1095">
        <v>0</v>
      </c>
      <c r="R83" s="378" t="str">
        <f t="shared" si="51"/>
        <v/>
      </c>
      <c r="S83" s="378" t="str">
        <f t="shared" si="52"/>
        <v/>
      </c>
      <c r="T83" s="379">
        <f>ROUND(IF(K83="",0,+Q83/1659*(AB83*12*(1+tab!$G$79+tab!$G$80)-tab!$G$78)*tab!$G$76),-1)</f>
        <v>0</v>
      </c>
      <c r="U83" s="1111" t="str">
        <f t="shared" si="53"/>
        <v/>
      </c>
      <c r="V83" s="362"/>
      <c r="W83" s="25"/>
      <c r="AB83" s="1105" t="str">
        <f t="shared" si="48"/>
        <v/>
      </c>
      <c r="AC83" s="1144">
        <f t="shared" si="54"/>
        <v>0.54</v>
      </c>
      <c r="AD83" s="1104" t="e">
        <f t="shared" si="55"/>
        <v>#VALUE!</v>
      </c>
      <c r="AE83" s="1104" t="e">
        <f t="shared" si="56"/>
        <v>#VALUE!</v>
      </c>
      <c r="AF83" s="1104" t="e">
        <f t="shared" si="57"/>
        <v>#VALUE!</v>
      </c>
      <c r="AG83" s="14">
        <f t="shared" si="58"/>
        <v>0</v>
      </c>
      <c r="AH83" s="1106" t="str">
        <f t="shared" si="59"/>
        <v/>
      </c>
      <c r="AI83" s="14">
        <f t="shared" si="60"/>
        <v>0</v>
      </c>
      <c r="AJ83" s="1107">
        <f t="shared" si="61"/>
        <v>0.5</v>
      </c>
      <c r="AK83" s="6">
        <f t="shared" si="62"/>
        <v>0</v>
      </c>
      <c r="AL83" s="1108">
        <f t="shared" si="63"/>
        <v>0</v>
      </c>
      <c r="AT83" s="267"/>
    </row>
    <row r="84" spans="2:46" x14ac:dyDescent="0.2">
      <c r="B84" s="21"/>
      <c r="C84" s="34"/>
      <c r="D84" s="798" t="str">
        <f t="shared" si="41"/>
        <v/>
      </c>
      <c r="E84" s="798" t="str">
        <f t="shared" si="42"/>
        <v/>
      </c>
      <c r="F84" s="798" t="str">
        <f t="shared" si="43"/>
        <v/>
      </c>
      <c r="G84" s="799" t="str">
        <f t="shared" si="44"/>
        <v/>
      </c>
      <c r="H84" s="800" t="str">
        <f t="shared" si="45"/>
        <v/>
      </c>
      <c r="I84" s="801" t="str">
        <f t="shared" si="45"/>
        <v/>
      </c>
      <c r="J84" s="799" t="str">
        <f t="shared" si="46"/>
        <v/>
      </c>
      <c r="K84" s="802" t="str">
        <f t="shared" si="47"/>
        <v/>
      </c>
      <c r="L84" s="1086"/>
      <c r="M84" s="789">
        <v>0</v>
      </c>
      <c r="N84" s="1215">
        <v>0</v>
      </c>
      <c r="O84" s="1216" t="str">
        <f t="shared" si="49"/>
        <v/>
      </c>
      <c r="P84" s="1096">
        <f t="shared" si="50"/>
        <v>0</v>
      </c>
      <c r="Q84" s="1095">
        <v>0</v>
      </c>
      <c r="R84" s="378" t="str">
        <f t="shared" si="51"/>
        <v/>
      </c>
      <c r="S84" s="378" t="str">
        <f t="shared" si="52"/>
        <v/>
      </c>
      <c r="T84" s="379">
        <f>ROUND(IF(K84="",0,+Q84/1659*(AB84*12*(1+tab!$G$79+tab!$G$80)-tab!$G$78)*tab!$G$76),-1)</f>
        <v>0</v>
      </c>
      <c r="U84" s="1111" t="str">
        <f t="shared" si="53"/>
        <v/>
      </c>
      <c r="V84" s="362"/>
      <c r="W84" s="25"/>
      <c r="AB84" s="1105" t="str">
        <f t="shared" si="48"/>
        <v/>
      </c>
      <c r="AC84" s="1144">
        <f t="shared" si="54"/>
        <v>0.54</v>
      </c>
      <c r="AD84" s="1104" t="e">
        <f t="shared" si="55"/>
        <v>#VALUE!</v>
      </c>
      <c r="AE84" s="1104" t="e">
        <f t="shared" si="56"/>
        <v>#VALUE!</v>
      </c>
      <c r="AF84" s="1104" t="e">
        <f t="shared" si="57"/>
        <v>#VALUE!</v>
      </c>
      <c r="AG84" s="14">
        <f t="shared" si="58"/>
        <v>0</v>
      </c>
      <c r="AH84" s="1106" t="str">
        <f t="shared" si="59"/>
        <v/>
      </c>
      <c r="AI84" s="14">
        <f t="shared" si="60"/>
        <v>0</v>
      </c>
      <c r="AJ84" s="1107">
        <f t="shared" si="61"/>
        <v>0.5</v>
      </c>
      <c r="AK84" s="6">
        <f t="shared" si="62"/>
        <v>0</v>
      </c>
      <c r="AL84" s="1108">
        <f t="shared" si="63"/>
        <v>0</v>
      </c>
      <c r="AT84" s="267"/>
    </row>
    <row r="85" spans="2:46" x14ac:dyDescent="0.2">
      <c r="B85" s="21"/>
      <c r="C85" s="34"/>
      <c r="D85" s="798" t="str">
        <f t="shared" si="41"/>
        <v/>
      </c>
      <c r="E85" s="798" t="str">
        <f t="shared" si="42"/>
        <v/>
      </c>
      <c r="F85" s="798" t="str">
        <f t="shared" si="43"/>
        <v/>
      </c>
      <c r="G85" s="799" t="str">
        <f t="shared" si="44"/>
        <v/>
      </c>
      <c r="H85" s="800" t="str">
        <f t="shared" si="45"/>
        <v/>
      </c>
      <c r="I85" s="801" t="str">
        <f t="shared" si="45"/>
        <v/>
      </c>
      <c r="J85" s="799" t="str">
        <f t="shared" si="46"/>
        <v/>
      </c>
      <c r="K85" s="802" t="str">
        <f t="shared" si="47"/>
        <v/>
      </c>
      <c r="L85" s="1086"/>
      <c r="M85" s="789">
        <v>0</v>
      </c>
      <c r="N85" s="1215">
        <v>0</v>
      </c>
      <c r="O85" s="1216" t="str">
        <f t="shared" si="49"/>
        <v/>
      </c>
      <c r="P85" s="1096">
        <f t="shared" si="50"/>
        <v>0</v>
      </c>
      <c r="Q85" s="1095">
        <v>0</v>
      </c>
      <c r="R85" s="378" t="str">
        <f t="shared" si="51"/>
        <v/>
      </c>
      <c r="S85" s="378" t="str">
        <f t="shared" si="52"/>
        <v/>
      </c>
      <c r="T85" s="379">
        <f>ROUND(IF(K85="",0,+Q85/1659*(AB85*12*(1+tab!$G$79+tab!$G$80)-tab!$G$78)*tab!$G$76),-1)</f>
        <v>0</v>
      </c>
      <c r="U85" s="1111" t="str">
        <f t="shared" si="53"/>
        <v/>
      </c>
      <c r="V85" s="362"/>
      <c r="W85" s="25"/>
      <c r="AB85" s="1105" t="str">
        <f t="shared" si="48"/>
        <v/>
      </c>
      <c r="AC85" s="1144">
        <f t="shared" si="54"/>
        <v>0.54</v>
      </c>
      <c r="AD85" s="1104" t="e">
        <f t="shared" si="55"/>
        <v>#VALUE!</v>
      </c>
      <c r="AE85" s="1104" t="e">
        <f t="shared" si="56"/>
        <v>#VALUE!</v>
      </c>
      <c r="AF85" s="1104" t="e">
        <f t="shared" si="57"/>
        <v>#VALUE!</v>
      </c>
      <c r="AG85" s="14">
        <f t="shared" si="58"/>
        <v>0</v>
      </c>
      <c r="AH85" s="1106" t="str">
        <f t="shared" si="59"/>
        <v/>
      </c>
      <c r="AI85" s="14">
        <f t="shared" si="60"/>
        <v>0</v>
      </c>
      <c r="AJ85" s="1107">
        <f t="shared" si="61"/>
        <v>0.5</v>
      </c>
      <c r="AK85" s="6">
        <f t="shared" si="62"/>
        <v>0</v>
      </c>
      <c r="AL85" s="1108">
        <f t="shared" si="63"/>
        <v>0</v>
      </c>
      <c r="AT85" s="267"/>
    </row>
    <row r="86" spans="2:46" x14ac:dyDescent="0.2">
      <c r="B86" s="21"/>
      <c r="C86" s="34"/>
      <c r="D86" s="798" t="str">
        <f t="shared" si="41"/>
        <v/>
      </c>
      <c r="E86" s="798" t="str">
        <f t="shared" si="42"/>
        <v/>
      </c>
      <c r="F86" s="798" t="str">
        <f t="shared" si="43"/>
        <v/>
      </c>
      <c r="G86" s="799" t="str">
        <f t="shared" si="44"/>
        <v/>
      </c>
      <c r="H86" s="800" t="str">
        <f t="shared" si="45"/>
        <v/>
      </c>
      <c r="I86" s="801" t="str">
        <f t="shared" si="45"/>
        <v/>
      </c>
      <c r="J86" s="799" t="str">
        <f t="shared" si="46"/>
        <v/>
      </c>
      <c r="K86" s="802" t="str">
        <f t="shared" si="47"/>
        <v/>
      </c>
      <c r="L86" s="1086"/>
      <c r="M86" s="789">
        <v>0</v>
      </c>
      <c r="N86" s="1215">
        <v>0</v>
      </c>
      <c r="O86" s="1216" t="str">
        <f t="shared" si="49"/>
        <v/>
      </c>
      <c r="P86" s="1096">
        <f t="shared" si="50"/>
        <v>0</v>
      </c>
      <c r="Q86" s="1095">
        <v>0</v>
      </c>
      <c r="R86" s="378" t="str">
        <f t="shared" si="51"/>
        <v/>
      </c>
      <c r="S86" s="378" t="str">
        <f t="shared" si="52"/>
        <v/>
      </c>
      <c r="T86" s="379">
        <f>ROUND(IF(K86="",0,+Q86/1659*(AB86*12*(1+tab!$G$79+tab!$G$80)-tab!$G$78)*tab!$G$76),-1)</f>
        <v>0</v>
      </c>
      <c r="U86" s="1111" t="str">
        <f t="shared" si="53"/>
        <v/>
      </c>
      <c r="V86" s="362"/>
      <c r="W86" s="25"/>
      <c r="AB86" s="1105" t="str">
        <f t="shared" si="48"/>
        <v/>
      </c>
      <c r="AC86" s="1144">
        <f t="shared" si="54"/>
        <v>0.54</v>
      </c>
      <c r="AD86" s="1104" t="e">
        <f t="shared" si="55"/>
        <v>#VALUE!</v>
      </c>
      <c r="AE86" s="1104" t="e">
        <f t="shared" si="56"/>
        <v>#VALUE!</v>
      </c>
      <c r="AF86" s="1104" t="e">
        <f t="shared" si="57"/>
        <v>#VALUE!</v>
      </c>
      <c r="AG86" s="14">
        <f t="shared" si="58"/>
        <v>0</v>
      </c>
      <c r="AH86" s="1106" t="str">
        <f t="shared" si="59"/>
        <v/>
      </c>
      <c r="AI86" s="14">
        <f t="shared" si="60"/>
        <v>0</v>
      </c>
      <c r="AJ86" s="1107">
        <f t="shared" si="61"/>
        <v>0.5</v>
      </c>
      <c r="AK86" s="6">
        <f t="shared" si="62"/>
        <v>0</v>
      </c>
      <c r="AL86" s="1108">
        <f t="shared" si="63"/>
        <v>0</v>
      </c>
      <c r="AT86" s="267"/>
    </row>
    <row r="87" spans="2:46" x14ac:dyDescent="0.2">
      <c r="B87" s="21"/>
      <c r="C87" s="34"/>
      <c r="D87" s="798" t="str">
        <f t="shared" si="41"/>
        <v/>
      </c>
      <c r="E87" s="798" t="str">
        <f t="shared" si="42"/>
        <v/>
      </c>
      <c r="F87" s="798" t="str">
        <f t="shared" si="43"/>
        <v/>
      </c>
      <c r="G87" s="799" t="str">
        <f t="shared" si="44"/>
        <v/>
      </c>
      <c r="H87" s="800" t="str">
        <f t="shared" si="45"/>
        <v/>
      </c>
      <c r="I87" s="801" t="str">
        <f t="shared" si="45"/>
        <v/>
      </c>
      <c r="J87" s="799" t="str">
        <f t="shared" si="46"/>
        <v/>
      </c>
      <c r="K87" s="802" t="str">
        <f t="shared" si="47"/>
        <v/>
      </c>
      <c r="L87" s="1086"/>
      <c r="M87" s="789">
        <v>0</v>
      </c>
      <c r="N87" s="1215">
        <v>0</v>
      </c>
      <c r="O87" s="1216" t="str">
        <f t="shared" si="49"/>
        <v/>
      </c>
      <c r="P87" s="1096">
        <f t="shared" si="50"/>
        <v>0</v>
      </c>
      <c r="Q87" s="1095">
        <v>0</v>
      </c>
      <c r="R87" s="378" t="str">
        <f t="shared" si="51"/>
        <v/>
      </c>
      <c r="S87" s="378" t="str">
        <f t="shared" si="52"/>
        <v/>
      </c>
      <c r="T87" s="379">
        <f>ROUND(IF(K87="",0,+Q87/1659*(AB87*12*(1+tab!$G$79+tab!$G$80)-tab!$G$78)*tab!$G$76),-1)</f>
        <v>0</v>
      </c>
      <c r="U87" s="1111" t="str">
        <f t="shared" si="53"/>
        <v/>
      </c>
      <c r="V87" s="362"/>
      <c r="W87" s="25"/>
      <c r="AB87" s="1105" t="str">
        <f t="shared" si="48"/>
        <v/>
      </c>
      <c r="AC87" s="1144">
        <f t="shared" si="54"/>
        <v>0.54</v>
      </c>
      <c r="AD87" s="1104" t="e">
        <f t="shared" si="55"/>
        <v>#VALUE!</v>
      </c>
      <c r="AE87" s="1104" t="e">
        <f t="shared" si="56"/>
        <v>#VALUE!</v>
      </c>
      <c r="AF87" s="1104" t="e">
        <f t="shared" si="57"/>
        <v>#VALUE!</v>
      </c>
      <c r="AG87" s="14">
        <f t="shared" si="58"/>
        <v>0</v>
      </c>
      <c r="AH87" s="1106" t="str">
        <f t="shared" si="59"/>
        <v/>
      </c>
      <c r="AI87" s="14">
        <f t="shared" si="60"/>
        <v>0</v>
      </c>
      <c r="AJ87" s="1107">
        <f t="shared" si="61"/>
        <v>0.5</v>
      </c>
      <c r="AK87" s="6">
        <f t="shared" si="62"/>
        <v>0</v>
      </c>
      <c r="AL87" s="1108">
        <f t="shared" si="63"/>
        <v>0</v>
      </c>
      <c r="AT87" s="267"/>
    </row>
    <row r="88" spans="2:46" x14ac:dyDescent="0.2">
      <c r="B88" s="21"/>
      <c r="C88" s="34"/>
      <c r="D88" s="798" t="str">
        <f t="shared" si="41"/>
        <v/>
      </c>
      <c r="E88" s="798" t="str">
        <f t="shared" si="42"/>
        <v/>
      </c>
      <c r="F88" s="798" t="str">
        <f t="shared" si="43"/>
        <v/>
      </c>
      <c r="G88" s="799" t="str">
        <f t="shared" si="44"/>
        <v/>
      </c>
      <c r="H88" s="800" t="str">
        <f t="shared" si="45"/>
        <v/>
      </c>
      <c r="I88" s="801" t="str">
        <f t="shared" si="45"/>
        <v/>
      </c>
      <c r="J88" s="799" t="str">
        <f t="shared" si="46"/>
        <v/>
      </c>
      <c r="K88" s="802" t="str">
        <f t="shared" si="47"/>
        <v/>
      </c>
      <c r="L88" s="1086"/>
      <c r="M88" s="789">
        <v>0</v>
      </c>
      <c r="N88" s="1215">
        <v>0</v>
      </c>
      <c r="O88" s="1216" t="str">
        <f t="shared" si="49"/>
        <v/>
      </c>
      <c r="P88" s="1096">
        <f t="shared" si="50"/>
        <v>0</v>
      </c>
      <c r="Q88" s="1095">
        <v>0</v>
      </c>
      <c r="R88" s="378" t="str">
        <f t="shared" si="51"/>
        <v/>
      </c>
      <c r="S88" s="378" t="str">
        <f t="shared" si="52"/>
        <v/>
      </c>
      <c r="T88" s="379">
        <f>ROUND(IF(K88="",0,+Q88/1659*(AB88*12*(1+tab!$G$79+tab!$G$80)-tab!$G$78)*tab!$G$76),-1)</f>
        <v>0</v>
      </c>
      <c r="U88" s="1111" t="str">
        <f t="shared" si="53"/>
        <v/>
      </c>
      <c r="V88" s="362"/>
      <c r="W88" s="25"/>
      <c r="AB88" s="1105" t="str">
        <f t="shared" si="48"/>
        <v/>
      </c>
      <c r="AC88" s="1144">
        <f t="shared" si="54"/>
        <v>0.54</v>
      </c>
      <c r="AD88" s="1104" t="e">
        <f t="shared" si="55"/>
        <v>#VALUE!</v>
      </c>
      <c r="AE88" s="1104" t="e">
        <f t="shared" si="56"/>
        <v>#VALUE!</v>
      </c>
      <c r="AF88" s="1104" t="e">
        <f t="shared" si="57"/>
        <v>#VALUE!</v>
      </c>
      <c r="AG88" s="14">
        <f t="shared" si="58"/>
        <v>0</v>
      </c>
      <c r="AH88" s="1106" t="str">
        <f t="shared" si="59"/>
        <v/>
      </c>
      <c r="AI88" s="14">
        <f t="shared" si="60"/>
        <v>0</v>
      </c>
      <c r="AJ88" s="1107">
        <f t="shared" si="61"/>
        <v>0.5</v>
      </c>
      <c r="AK88" s="6">
        <f t="shared" si="62"/>
        <v>0</v>
      </c>
      <c r="AL88" s="1108">
        <f t="shared" si="63"/>
        <v>0</v>
      </c>
      <c r="AT88" s="267"/>
    </row>
    <row r="89" spans="2:46" x14ac:dyDescent="0.2">
      <c r="B89" s="21"/>
      <c r="C89" s="34"/>
      <c r="D89" s="798" t="str">
        <f t="shared" si="41"/>
        <v/>
      </c>
      <c r="E89" s="798" t="str">
        <f t="shared" si="42"/>
        <v/>
      </c>
      <c r="F89" s="798" t="str">
        <f t="shared" si="43"/>
        <v/>
      </c>
      <c r="G89" s="799" t="str">
        <f t="shared" si="44"/>
        <v/>
      </c>
      <c r="H89" s="800" t="str">
        <f t="shared" si="45"/>
        <v/>
      </c>
      <c r="I89" s="801" t="str">
        <f t="shared" si="45"/>
        <v/>
      </c>
      <c r="J89" s="799" t="str">
        <f t="shared" si="46"/>
        <v/>
      </c>
      <c r="K89" s="802" t="str">
        <f t="shared" si="47"/>
        <v/>
      </c>
      <c r="L89" s="1086"/>
      <c r="M89" s="789">
        <v>0</v>
      </c>
      <c r="N89" s="1215">
        <v>0</v>
      </c>
      <c r="O89" s="1216" t="str">
        <f t="shared" si="49"/>
        <v/>
      </c>
      <c r="P89" s="1096">
        <f t="shared" si="50"/>
        <v>0</v>
      </c>
      <c r="Q89" s="1095">
        <v>0</v>
      </c>
      <c r="R89" s="378" t="str">
        <f t="shared" si="51"/>
        <v/>
      </c>
      <c r="S89" s="378" t="str">
        <f t="shared" si="52"/>
        <v/>
      </c>
      <c r="T89" s="379">
        <f>ROUND(IF(K89="",0,+Q89/1659*(AB89*12*(1+tab!$G$79+tab!$G$80)-tab!$G$78)*tab!$G$76),-1)</f>
        <v>0</v>
      </c>
      <c r="U89" s="1111" t="str">
        <f t="shared" si="53"/>
        <v/>
      </c>
      <c r="V89" s="362"/>
      <c r="W89" s="25"/>
      <c r="AB89" s="1105" t="str">
        <f t="shared" si="48"/>
        <v/>
      </c>
      <c r="AC89" s="1144">
        <f t="shared" si="54"/>
        <v>0.54</v>
      </c>
      <c r="AD89" s="1104" t="e">
        <f t="shared" si="55"/>
        <v>#VALUE!</v>
      </c>
      <c r="AE89" s="1104" t="e">
        <f t="shared" si="56"/>
        <v>#VALUE!</v>
      </c>
      <c r="AF89" s="1104" t="e">
        <f t="shared" si="57"/>
        <v>#VALUE!</v>
      </c>
      <c r="AG89" s="14">
        <f t="shared" si="58"/>
        <v>0</v>
      </c>
      <c r="AH89" s="1106" t="str">
        <f t="shared" si="59"/>
        <v/>
      </c>
      <c r="AI89" s="14">
        <f t="shared" si="60"/>
        <v>0</v>
      </c>
      <c r="AJ89" s="1107">
        <f t="shared" si="61"/>
        <v>0.5</v>
      </c>
      <c r="AK89" s="6">
        <f t="shared" si="62"/>
        <v>0</v>
      </c>
      <c r="AL89" s="1108">
        <f t="shared" si="63"/>
        <v>0</v>
      </c>
      <c r="AT89" s="267"/>
    </row>
    <row r="90" spans="2:46" x14ac:dyDescent="0.2">
      <c r="B90" s="21"/>
      <c r="C90" s="34"/>
      <c r="D90" s="798" t="str">
        <f t="shared" si="41"/>
        <v/>
      </c>
      <c r="E90" s="798" t="str">
        <f t="shared" si="42"/>
        <v/>
      </c>
      <c r="F90" s="798" t="str">
        <f t="shared" si="43"/>
        <v/>
      </c>
      <c r="G90" s="799" t="str">
        <f t="shared" si="44"/>
        <v/>
      </c>
      <c r="H90" s="800" t="str">
        <f t="shared" si="45"/>
        <v/>
      </c>
      <c r="I90" s="801" t="str">
        <f t="shared" si="45"/>
        <v/>
      </c>
      <c r="J90" s="799" t="str">
        <f t="shared" si="46"/>
        <v/>
      </c>
      <c r="K90" s="802" t="str">
        <f t="shared" si="47"/>
        <v/>
      </c>
      <c r="L90" s="1086"/>
      <c r="M90" s="789">
        <v>0</v>
      </c>
      <c r="N90" s="1215">
        <v>0</v>
      </c>
      <c r="O90" s="1216" t="str">
        <f t="shared" si="49"/>
        <v/>
      </c>
      <c r="P90" s="1096">
        <f t="shared" si="50"/>
        <v>0</v>
      </c>
      <c r="Q90" s="1095">
        <v>0</v>
      </c>
      <c r="R90" s="378" t="str">
        <f t="shared" si="51"/>
        <v/>
      </c>
      <c r="S90" s="378" t="str">
        <f t="shared" si="52"/>
        <v/>
      </c>
      <c r="T90" s="379">
        <f>ROUND(IF(K90="",0,+Q90/1659*(AB90*12*(1+tab!$G$79+tab!$G$80)-tab!$G$78)*tab!$G$76),-1)</f>
        <v>0</v>
      </c>
      <c r="U90" s="1111" t="str">
        <f t="shared" si="53"/>
        <v/>
      </c>
      <c r="V90" s="362"/>
      <c r="W90" s="25"/>
      <c r="AB90" s="1105" t="str">
        <f t="shared" si="48"/>
        <v/>
      </c>
      <c r="AC90" s="1144">
        <f t="shared" si="54"/>
        <v>0.54</v>
      </c>
      <c r="AD90" s="1104" t="e">
        <f t="shared" si="55"/>
        <v>#VALUE!</v>
      </c>
      <c r="AE90" s="1104" t="e">
        <f t="shared" si="56"/>
        <v>#VALUE!</v>
      </c>
      <c r="AF90" s="1104" t="e">
        <f t="shared" si="57"/>
        <v>#VALUE!</v>
      </c>
      <c r="AG90" s="14">
        <f t="shared" si="58"/>
        <v>0</v>
      </c>
      <c r="AH90" s="1106" t="str">
        <f t="shared" si="59"/>
        <v/>
      </c>
      <c r="AI90" s="14">
        <f t="shared" si="60"/>
        <v>0</v>
      </c>
      <c r="AJ90" s="1107">
        <f t="shared" si="61"/>
        <v>0.5</v>
      </c>
      <c r="AK90" s="6">
        <f t="shared" si="62"/>
        <v>0</v>
      </c>
      <c r="AL90" s="1108">
        <f t="shared" si="63"/>
        <v>0</v>
      </c>
      <c r="AT90" s="267"/>
    </row>
    <row r="91" spans="2:46" x14ac:dyDescent="0.2">
      <c r="B91" s="21"/>
      <c r="C91" s="34"/>
      <c r="D91" s="798" t="str">
        <f t="shared" si="41"/>
        <v/>
      </c>
      <c r="E91" s="798" t="str">
        <f t="shared" si="42"/>
        <v/>
      </c>
      <c r="F91" s="798" t="str">
        <f t="shared" si="43"/>
        <v/>
      </c>
      <c r="G91" s="799" t="str">
        <f t="shared" si="44"/>
        <v/>
      </c>
      <c r="H91" s="800" t="str">
        <f t="shared" si="45"/>
        <v/>
      </c>
      <c r="I91" s="801" t="str">
        <f t="shared" si="45"/>
        <v/>
      </c>
      <c r="J91" s="799" t="str">
        <f t="shared" si="46"/>
        <v/>
      </c>
      <c r="K91" s="802" t="str">
        <f t="shared" si="47"/>
        <v/>
      </c>
      <c r="L91" s="1086"/>
      <c r="M91" s="789">
        <v>0</v>
      </c>
      <c r="N91" s="1215">
        <v>0</v>
      </c>
      <c r="O91" s="1216" t="str">
        <f t="shared" si="49"/>
        <v/>
      </c>
      <c r="P91" s="1096">
        <f t="shared" si="50"/>
        <v>0</v>
      </c>
      <c r="Q91" s="1095">
        <v>0</v>
      </c>
      <c r="R91" s="378" t="str">
        <f t="shared" si="51"/>
        <v/>
      </c>
      <c r="S91" s="378" t="str">
        <f t="shared" si="52"/>
        <v/>
      </c>
      <c r="T91" s="379">
        <f>ROUND(IF(K91="",0,+Q91/1659*(AB91*12*(1+tab!$G$79+tab!$G$80)-tab!$G$78)*tab!$G$76),-1)</f>
        <v>0</v>
      </c>
      <c r="U91" s="1111" t="str">
        <f t="shared" si="53"/>
        <v/>
      </c>
      <c r="V91" s="362"/>
      <c r="W91" s="25"/>
      <c r="AB91" s="1105" t="str">
        <f t="shared" si="48"/>
        <v/>
      </c>
      <c r="AC91" s="1144">
        <f t="shared" si="54"/>
        <v>0.54</v>
      </c>
      <c r="AD91" s="1104" t="e">
        <f t="shared" si="55"/>
        <v>#VALUE!</v>
      </c>
      <c r="AE91" s="1104" t="e">
        <f t="shared" si="56"/>
        <v>#VALUE!</v>
      </c>
      <c r="AF91" s="1104" t="e">
        <f t="shared" si="57"/>
        <v>#VALUE!</v>
      </c>
      <c r="AG91" s="14">
        <f t="shared" si="58"/>
        <v>0</v>
      </c>
      <c r="AH91" s="1106" t="str">
        <f t="shared" si="59"/>
        <v/>
      </c>
      <c r="AI91" s="14">
        <f t="shared" si="60"/>
        <v>0</v>
      </c>
      <c r="AJ91" s="1107">
        <f t="shared" si="61"/>
        <v>0.5</v>
      </c>
      <c r="AK91" s="6">
        <f t="shared" si="62"/>
        <v>0</v>
      </c>
      <c r="AL91" s="1108">
        <f t="shared" si="63"/>
        <v>0</v>
      </c>
      <c r="AT91" s="267"/>
    </row>
    <row r="92" spans="2:46" x14ac:dyDescent="0.2">
      <c r="B92" s="21"/>
      <c r="C92" s="34"/>
      <c r="D92" s="798" t="str">
        <f t="shared" si="41"/>
        <v/>
      </c>
      <c r="E92" s="798" t="str">
        <f t="shared" si="42"/>
        <v/>
      </c>
      <c r="F92" s="798" t="str">
        <f t="shared" si="43"/>
        <v/>
      </c>
      <c r="G92" s="799" t="str">
        <f t="shared" si="44"/>
        <v/>
      </c>
      <c r="H92" s="800" t="str">
        <f t="shared" si="45"/>
        <v/>
      </c>
      <c r="I92" s="801" t="str">
        <f t="shared" si="45"/>
        <v/>
      </c>
      <c r="J92" s="799" t="str">
        <f t="shared" si="46"/>
        <v/>
      </c>
      <c r="K92" s="802" t="str">
        <f t="shared" si="47"/>
        <v/>
      </c>
      <c r="L92" s="1086"/>
      <c r="M92" s="789">
        <v>0</v>
      </c>
      <c r="N92" s="1215">
        <v>0</v>
      </c>
      <c r="O92" s="1216" t="str">
        <f t="shared" si="49"/>
        <v/>
      </c>
      <c r="P92" s="1096">
        <f t="shared" si="50"/>
        <v>0</v>
      </c>
      <c r="Q92" s="1095">
        <v>0</v>
      </c>
      <c r="R92" s="378" t="str">
        <f t="shared" si="51"/>
        <v/>
      </c>
      <c r="S92" s="378" t="str">
        <f t="shared" si="52"/>
        <v/>
      </c>
      <c r="T92" s="379">
        <f>ROUND(IF(K92="",0,+Q92/1659*(AB92*12*(1+tab!$G$79+tab!$G$80)-tab!$G$78)*tab!$G$76),-1)</f>
        <v>0</v>
      </c>
      <c r="U92" s="1111" t="str">
        <f t="shared" si="53"/>
        <v/>
      </c>
      <c r="V92" s="362"/>
      <c r="W92" s="25"/>
      <c r="AB92" s="1105" t="str">
        <f t="shared" si="48"/>
        <v/>
      </c>
      <c r="AC92" s="1144">
        <f t="shared" si="54"/>
        <v>0.54</v>
      </c>
      <c r="AD92" s="1104" t="e">
        <f t="shared" si="55"/>
        <v>#VALUE!</v>
      </c>
      <c r="AE92" s="1104" t="e">
        <f t="shared" si="56"/>
        <v>#VALUE!</v>
      </c>
      <c r="AF92" s="1104" t="e">
        <f t="shared" si="57"/>
        <v>#VALUE!</v>
      </c>
      <c r="AG92" s="14">
        <f t="shared" si="58"/>
        <v>0</v>
      </c>
      <c r="AH92" s="1106" t="str">
        <f t="shared" si="59"/>
        <v/>
      </c>
      <c r="AI92" s="14">
        <f t="shared" si="60"/>
        <v>0</v>
      </c>
      <c r="AJ92" s="1107">
        <f t="shared" si="61"/>
        <v>0.5</v>
      </c>
      <c r="AK92" s="6">
        <f t="shared" si="62"/>
        <v>0</v>
      </c>
      <c r="AL92" s="1108">
        <f t="shared" si="63"/>
        <v>0</v>
      </c>
      <c r="AT92" s="267"/>
    </row>
    <row r="93" spans="2:46" x14ac:dyDescent="0.2">
      <c r="B93" s="21"/>
      <c r="C93" s="34"/>
      <c r="D93" s="798" t="str">
        <f t="shared" si="41"/>
        <v/>
      </c>
      <c r="E93" s="798" t="str">
        <f t="shared" si="42"/>
        <v/>
      </c>
      <c r="F93" s="798" t="str">
        <f t="shared" si="43"/>
        <v/>
      </c>
      <c r="G93" s="799" t="str">
        <f t="shared" si="44"/>
        <v/>
      </c>
      <c r="H93" s="800" t="str">
        <f t="shared" si="45"/>
        <v/>
      </c>
      <c r="I93" s="801" t="str">
        <f t="shared" si="45"/>
        <v/>
      </c>
      <c r="J93" s="799" t="str">
        <f t="shared" si="46"/>
        <v/>
      </c>
      <c r="K93" s="802" t="str">
        <f t="shared" si="47"/>
        <v/>
      </c>
      <c r="L93" s="1086"/>
      <c r="M93" s="789">
        <v>0</v>
      </c>
      <c r="N93" s="1215">
        <v>0</v>
      </c>
      <c r="O93" s="1216" t="str">
        <f t="shared" si="49"/>
        <v/>
      </c>
      <c r="P93" s="1096">
        <f t="shared" si="50"/>
        <v>0</v>
      </c>
      <c r="Q93" s="1095">
        <v>0</v>
      </c>
      <c r="R93" s="378" t="str">
        <f t="shared" si="51"/>
        <v/>
      </c>
      <c r="S93" s="378" t="str">
        <f t="shared" si="52"/>
        <v/>
      </c>
      <c r="T93" s="379">
        <f>ROUND(IF(K93="",0,+Q93/1659*(AB93*12*(1+tab!$G$79+tab!$G$80)-tab!$G$78)*tab!$G$76),-1)</f>
        <v>0</v>
      </c>
      <c r="U93" s="1111" t="str">
        <f t="shared" si="53"/>
        <v/>
      </c>
      <c r="V93" s="362"/>
      <c r="W93" s="25"/>
      <c r="AB93" s="1105" t="str">
        <f t="shared" si="48"/>
        <v/>
      </c>
      <c r="AC93" s="1144">
        <f t="shared" si="54"/>
        <v>0.54</v>
      </c>
      <c r="AD93" s="1104" t="e">
        <f t="shared" si="55"/>
        <v>#VALUE!</v>
      </c>
      <c r="AE93" s="1104" t="e">
        <f t="shared" si="56"/>
        <v>#VALUE!</v>
      </c>
      <c r="AF93" s="1104" t="e">
        <f t="shared" si="57"/>
        <v>#VALUE!</v>
      </c>
      <c r="AG93" s="14">
        <f t="shared" si="58"/>
        <v>0</v>
      </c>
      <c r="AH93" s="1106" t="str">
        <f t="shared" si="59"/>
        <v/>
      </c>
      <c r="AI93" s="14">
        <f t="shared" si="60"/>
        <v>0</v>
      </c>
      <c r="AJ93" s="1107">
        <f t="shared" si="61"/>
        <v>0.5</v>
      </c>
      <c r="AK93" s="6">
        <f t="shared" si="62"/>
        <v>0</v>
      </c>
      <c r="AL93" s="1108">
        <f t="shared" si="63"/>
        <v>0</v>
      </c>
      <c r="AT93" s="267"/>
    </row>
    <row r="94" spans="2:46" x14ac:dyDescent="0.2">
      <c r="B94" s="21"/>
      <c r="C94" s="34"/>
      <c r="D94" s="798" t="str">
        <f t="shared" si="41"/>
        <v/>
      </c>
      <c r="E94" s="798" t="str">
        <f t="shared" si="42"/>
        <v/>
      </c>
      <c r="F94" s="798" t="str">
        <f t="shared" si="43"/>
        <v/>
      </c>
      <c r="G94" s="799" t="str">
        <f t="shared" si="44"/>
        <v/>
      </c>
      <c r="H94" s="800" t="str">
        <f t="shared" si="45"/>
        <v/>
      </c>
      <c r="I94" s="801" t="str">
        <f t="shared" si="45"/>
        <v/>
      </c>
      <c r="J94" s="799" t="str">
        <f t="shared" si="46"/>
        <v/>
      </c>
      <c r="K94" s="802" t="str">
        <f t="shared" si="47"/>
        <v/>
      </c>
      <c r="L94" s="1086"/>
      <c r="M94" s="789">
        <v>0</v>
      </c>
      <c r="N94" s="1215">
        <v>0</v>
      </c>
      <c r="O94" s="1216" t="str">
        <f t="shared" si="49"/>
        <v/>
      </c>
      <c r="P94" s="1096">
        <f t="shared" si="50"/>
        <v>0</v>
      </c>
      <c r="Q94" s="1095">
        <v>0</v>
      </c>
      <c r="R94" s="378" t="str">
        <f t="shared" si="51"/>
        <v/>
      </c>
      <c r="S94" s="378" t="str">
        <f t="shared" si="52"/>
        <v/>
      </c>
      <c r="T94" s="379">
        <f>ROUND(IF(K94="",0,+Q94/1659*(AB94*12*(1+tab!$G$79+tab!$G$80)-tab!$G$78)*tab!$G$76),-1)</f>
        <v>0</v>
      </c>
      <c r="U94" s="1111" t="str">
        <f t="shared" si="53"/>
        <v/>
      </c>
      <c r="V94" s="362"/>
      <c r="W94" s="25"/>
      <c r="AB94" s="1105" t="str">
        <f t="shared" si="48"/>
        <v/>
      </c>
      <c r="AC94" s="1144">
        <f t="shared" si="54"/>
        <v>0.54</v>
      </c>
      <c r="AD94" s="1104" t="e">
        <f t="shared" si="55"/>
        <v>#VALUE!</v>
      </c>
      <c r="AE94" s="1104" t="e">
        <f t="shared" si="56"/>
        <v>#VALUE!</v>
      </c>
      <c r="AF94" s="1104" t="e">
        <f t="shared" si="57"/>
        <v>#VALUE!</v>
      </c>
      <c r="AG94" s="14">
        <f t="shared" si="58"/>
        <v>0</v>
      </c>
      <c r="AH94" s="1106" t="str">
        <f t="shared" si="59"/>
        <v/>
      </c>
      <c r="AI94" s="14">
        <f t="shared" si="60"/>
        <v>0</v>
      </c>
      <c r="AJ94" s="1107">
        <f t="shared" si="61"/>
        <v>0.5</v>
      </c>
      <c r="AK94" s="6">
        <f t="shared" si="62"/>
        <v>0</v>
      </c>
      <c r="AL94" s="1108">
        <f t="shared" si="63"/>
        <v>0</v>
      </c>
      <c r="AT94" s="267"/>
    </row>
    <row r="95" spans="2:46" x14ac:dyDescent="0.2">
      <c r="B95" s="21"/>
      <c r="C95" s="34"/>
      <c r="D95" s="798" t="str">
        <f t="shared" si="41"/>
        <v/>
      </c>
      <c r="E95" s="798" t="str">
        <f t="shared" si="42"/>
        <v/>
      </c>
      <c r="F95" s="798" t="str">
        <f t="shared" si="43"/>
        <v/>
      </c>
      <c r="G95" s="799" t="str">
        <f t="shared" si="44"/>
        <v/>
      </c>
      <c r="H95" s="800" t="str">
        <f t="shared" si="45"/>
        <v/>
      </c>
      <c r="I95" s="801" t="str">
        <f t="shared" si="45"/>
        <v/>
      </c>
      <c r="J95" s="799" t="str">
        <f t="shared" si="46"/>
        <v/>
      </c>
      <c r="K95" s="802" t="str">
        <f t="shared" si="47"/>
        <v/>
      </c>
      <c r="L95" s="1086"/>
      <c r="M95" s="789">
        <v>0</v>
      </c>
      <c r="N95" s="1215">
        <v>0</v>
      </c>
      <c r="O95" s="1216" t="str">
        <f t="shared" si="49"/>
        <v/>
      </c>
      <c r="P95" s="1096">
        <f t="shared" si="50"/>
        <v>0</v>
      </c>
      <c r="Q95" s="1095">
        <v>0</v>
      </c>
      <c r="R95" s="378" t="str">
        <f t="shared" si="51"/>
        <v/>
      </c>
      <c r="S95" s="378" t="str">
        <f t="shared" si="52"/>
        <v/>
      </c>
      <c r="T95" s="379">
        <f>ROUND(IF(K95="",0,+Q95/1659*(AB95*12*(1+tab!$G$79+tab!$G$80)-tab!$G$78)*tab!$G$76),-1)</f>
        <v>0</v>
      </c>
      <c r="U95" s="1111" t="str">
        <f t="shared" si="53"/>
        <v/>
      </c>
      <c r="V95" s="362"/>
      <c r="W95" s="25"/>
      <c r="AB95" s="1105" t="str">
        <f t="shared" si="48"/>
        <v/>
      </c>
      <c r="AC95" s="1144">
        <f t="shared" si="54"/>
        <v>0.54</v>
      </c>
      <c r="AD95" s="1104" t="e">
        <f t="shared" si="55"/>
        <v>#VALUE!</v>
      </c>
      <c r="AE95" s="1104" t="e">
        <f t="shared" si="56"/>
        <v>#VALUE!</v>
      </c>
      <c r="AF95" s="1104" t="e">
        <f t="shared" si="57"/>
        <v>#VALUE!</v>
      </c>
      <c r="AG95" s="14">
        <f t="shared" si="58"/>
        <v>0</v>
      </c>
      <c r="AH95" s="1106" t="str">
        <f t="shared" si="59"/>
        <v/>
      </c>
      <c r="AI95" s="14">
        <f t="shared" si="60"/>
        <v>0</v>
      </c>
      <c r="AJ95" s="1107">
        <f t="shared" si="61"/>
        <v>0.5</v>
      </c>
      <c r="AK95" s="6">
        <f t="shared" si="62"/>
        <v>0</v>
      </c>
      <c r="AL95" s="1108">
        <f t="shared" si="63"/>
        <v>0</v>
      </c>
      <c r="AT95" s="267"/>
    </row>
    <row r="96" spans="2:46" x14ac:dyDescent="0.2">
      <c r="B96" s="21"/>
      <c r="C96" s="34"/>
      <c r="D96" s="798" t="str">
        <f t="shared" si="41"/>
        <v/>
      </c>
      <c r="E96" s="798" t="str">
        <f t="shared" si="42"/>
        <v/>
      </c>
      <c r="F96" s="798" t="str">
        <f t="shared" si="43"/>
        <v/>
      </c>
      <c r="G96" s="799" t="str">
        <f t="shared" si="44"/>
        <v/>
      </c>
      <c r="H96" s="800" t="str">
        <f t="shared" si="45"/>
        <v/>
      </c>
      <c r="I96" s="801" t="str">
        <f t="shared" si="45"/>
        <v/>
      </c>
      <c r="J96" s="799" t="str">
        <f t="shared" si="46"/>
        <v/>
      </c>
      <c r="K96" s="802" t="str">
        <f t="shared" si="47"/>
        <v/>
      </c>
      <c r="L96" s="1086"/>
      <c r="M96" s="789">
        <v>0</v>
      </c>
      <c r="N96" s="1215">
        <v>0</v>
      </c>
      <c r="O96" s="1216" t="str">
        <f t="shared" si="49"/>
        <v/>
      </c>
      <c r="P96" s="1096">
        <f t="shared" si="50"/>
        <v>0</v>
      </c>
      <c r="Q96" s="1095">
        <v>0</v>
      </c>
      <c r="R96" s="378" t="str">
        <f t="shared" si="51"/>
        <v/>
      </c>
      <c r="S96" s="378" t="str">
        <f t="shared" si="52"/>
        <v/>
      </c>
      <c r="T96" s="379">
        <f>ROUND(IF(K96="",0,+Q96/1659*(AB96*12*(1+tab!$G$79+tab!$G$80)-tab!$G$78)*tab!$G$76),-1)</f>
        <v>0</v>
      </c>
      <c r="U96" s="1111" t="str">
        <f t="shared" si="53"/>
        <v/>
      </c>
      <c r="V96" s="362"/>
      <c r="W96" s="25"/>
      <c r="AB96" s="1105" t="str">
        <f t="shared" si="48"/>
        <v/>
      </c>
      <c r="AC96" s="1144">
        <f t="shared" si="54"/>
        <v>0.54</v>
      </c>
      <c r="AD96" s="1104" t="e">
        <f t="shared" si="55"/>
        <v>#VALUE!</v>
      </c>
      <c r="AE96" s="1104" t="e">
        <f t="shared" si="56"/>
        <v>#VALUE!</v>
      </c>
      <c r="AF96" s="1104" t="e">
        <f t="shared" si="57"/>
        <v>#VALUE!</v>
      </c>
      <c r="AG96" s="14">
        <f t="shared" si="58"/>
        <v>0</v>
      </c>
      <c r="AH96" s="1106" t="str">
        <f t="shared" si="59"/>
        <v/>
      </c>
      <c r="AI96" s="14">
        <f t="shared" si="60"/>
        <v>0</v>
      </c>
      <c r="AJ96" s="1107">
        <f t="shared" si="61"/>
        <v>0.5</v>
      </c>
      <c r="AK96" s="6">
        <f t="shared" si="62"/>
        <v>0</v>
      </c>
      <c r="AL96" s="1108">
        <f t="shared" si="63"/>
        <v>0</v>
      </c>
      <c r="AT96" s="267"/>
    </row>
    <row r="97" spans="2:46" x14ac:dyDescent="0.2">
      <c r="B97" s="21"/>
      <c r="C97" s="34"/>
      <c r="D97" s="798" t="str">
        <f t="shared" si="41"/>
        <v/>
      </c>
      <c r="E97" s="798" t="str">
        <f t="shared" si="42"/>
        <v/>
      </c>
      <c r="F97" s="798" t="str">
        <f t="shared" si="43"/>
        <v/>
      </c>
      <c r="G97" s="799" t="str">
        <f t="shared" si="44"/>
        <v/>
      </c>
      <c r="H97" s="800" t="str">
        <f t="shared" si="45"/>
        <v/>
      </c>
      <c r="I97" s="801" t="str">
        <f t="shared" si="45"/>
        <v/>
      </c>
      <c r="J97" s="799" t="str">
        <f t="shared" si="46"/>
        <v/>
      </c>
      <c r="K97" s="802" t="str">
        <f t="shared" si="47"/>
        <v/>
      </c>
      <c r="L97" s="1086"/>
      <c r="M97" s="789">
        <v>0</v>
      </c>
      <c r="N97" s="1215">
        <v>0</v>
      </c>
      <c r="O97" s="1216" t="str">
        <f t="shared" si="49"/>
        <v/>
      </c>
      <c r="P97" s="1096">
        <f t="shared" si="50"/>
        <v>0</v>
      </c>
      <c r="Q97" s="1095">
        <v>0</v>
      </c>
      <c r="R97" s="378" t="str">
        <f t="shared" si="51"/>
        <v/>
      </c>
      <c r="S97" s="378" t="str">
        <f t="shared" si="52"/>
        <v/>
      </c>
      <c r="T97" s="379">
        <f>ROUND(IF(K97="",0,+Q97/1659*(AB97*12*(1+tab!$G$79+tab!$G$80)-tab!$G$78)*tab!$G$76),-1)</f>
        <v>0</v>
      </c>
      <c r="U97" s="1111" t="str">
        <f t="shared" si="53"/>
        <v/>
      </c>
      <c r="V97" s="362"/>
      <c r="W97" s="25"/>
      <c r="AB97" s="1105" t="str">
        <f t="shared" si="48"/>
        <v/>
      </c>
      <c r="AC97" s="1144">
        <f t="shared" si="54"/>
        <v>0.54</v>
      </c>
      <c r="AD97" s="1104" t="e">
        <f t="shared" si="55"/>
        <v>#VALUE!</v>
      </c>
      <c r="AE97" s="1104" t="e">
        <f t="shared" si="56"/>
        <v>#VALUE!</v>
      </c>
      <c r="AF97" s="1104" t="e">
        <f t="shared" si="57"/>
        <v>#VALUE!</v>
      </c>
      <c r="AG97" s="14">
        <f t="shared" si="58"/>
        <v>0</v>
      </c>
      <c r="AH97" s="1106" t="str">
        <f t="shared" si="59"/>
        <v/>
      </c>
      <c r="AI97" s="14">
        <f t="shared" si="60"/>
        <v>0</v>
      </c>
      <c r="AJ97" s="1107">
        <f t="shared" si="61"/>
        <v>0.5</v>
      </c>
      <c r="AK97" s="6">
        <f t="shared" si="62"/>
        <v>0</v>
      </c>
      <c r="AL97" s="1108">
        <f t="shared" si="63"/>
        <v>0</v>
      </c>
      <c r="AT97" s="267"/>
    </row>
    <row r="98" spans="2:46" x14ac:dyDescent="0.2">
      <c r="B98" s="21"/>
      <c r="C98" s="34"/>
      <c r="D98" s="798" t="str">
        <f t="shared" si="41"/>
        <v/>
      </c>
      <c r="E98" s="798" t="str">
        <f t="shared" si="42"/>
        <v/>
      </c>
      <c r="F98" s="798" t="str">
        <f t="shared" si="43"/>
        <v/>
      </c>
      <c r="G98" s="799" t="str">
        <f t="shared" si="44"/>
        <v/>
      </c>
      <c r="H98" s="800" t="str">
        <f t="shared" si="45"/>
        <v/>
      </c>
      <c r="I98" s="801" t="str">
        <f t="shared" si="45"/>
        <v/>
      </c>
      <c r="J98" s="799" t="str">
        <f t="shared" si="46"/>
        <v/>
      </c>
      <c r="K98" s="802" t="str">
        <f t="shared" si="47"/>
        <v/>
      </c>
      <c r="L98" s="1086"/>
      <c r="M98" s="789">
        <v>0</v>
      </c>
      <c r="N98" s="1215">
        <v>0</v>
      </c>
      <c r="O98" s="1216" t="str">
        <f t="shared" si="49"/>
        <v/>
      </c>
      <c r="P98" s="1096">
        <f t="shared" si="50"/>
        <v>0</v>
      </c>
      <c r="Q98" s="1095">
        <v>0</v>
      </c>
      <c r="R98" s="378" t="str">
        <f t="shared" si="51"/>
        <v/>
      </c>
      <c r="S98" s="378" t="str">
        <f t="shared" si="52"/>
        <v/>
      </c>
      <c r="T98" s="379">
        <f>ROUND(IF(K98="",0,+Q98/1659*(AB98*12*(1+tab!$G$79+tab!$G$80)-tab!$G$78)*tab!$G$76),-1)</f>
        <v>0</v>
      </c>
      <c r="U98" s="1111" t="str">
        <f t="shared" si="53"/>
        <v/>
      </c>
      <c r="V98" s="362"/>
      <c r="W98" s="25"/>
      <c r="AB98" s="1105" t="str">
        <f t="shared" si="48"/>
        <v/>
      </c>
      <c r="AC98" s="1144">
        <f t="shared" si="54"/>
        <v>0.54</v>
      </c>
      <c r="AD98" s="1104" t="e">
        <f t="shared" si="55"/>
        <v>#VALUE!</v>
      </c>
      <c r="AE98" s="1104" t="e">
        <f t="shared" si="56"/>
        <v>#VALUE!</v>
      </c>
      <c r="AF98" s="1104" t="e">
        <f t="shared" si="57"/>
        <v>#VALUE!</v>
      </c>
      <c r="AG98" s="14">
        <f t="shared" si="58"/>
        <v>0</v>
      </c>
      <c r="AH98" s="1106" t="str">
        <f t="shared" si="59"/>
        <v/>
      </c>
      <c r="AI98" s="14">
        <f t="shared" si="60"/>
        <v>0</v>
      </c>
      <c r="AJ98" s="1107">
        <f t="shared" si="61"/>
        <v>0.5</v>
      </c>
      <c r="AK98" s="6">
        <f t="shared" si="62"/>
        <v>0</v>
      </c>
      <c r="AL98" s="1108">
        <f t="shared" si="63"/>
        <v>0</v>
      </c>
      <c r="AT98" s="267"/>
    </row>
    <row r="99" spans="2:46" x14ac:dyDescent="0.2">
      <c r="B99" s="21"/>
      <c r="C99" s="34"/>
      <c r="D99" s="363"/>
      <c r="E99" s="363"/>
      <c r="F99" s="363"/>
      <c r="G99" s="188"/>
      <c r="H99" s="364"/>
      <c r="I99" s="188"/>
      <c r="J99" s="365"/>
      <c r="K99" s="380">
        <f>SUM(K79:K98)</f>
        <v>1</v>
      </c>
      <c r="L99" s="1079"/>
      <c r="M99" s="1094">
        <f t="shared" ref="M99:U99" si="64">SUM(M79:M98)</f>
        <v>0</v>
      </c>
      <c r="N99" s="1094">
        <f t="shared" si="64"/>
        <v>0</v>
      </c>
      <c r="O99" s="1094">
        <f t="shared" si="64"/>
        <v>50</v>
      </c>
      <c r="P99" s="1094">
        <f t="shared" si="64"/>
        <v>50</v>
      </c>
      <c r="Q99" s="1094">
        <f t="shared" si="64"/>
        <v>0</v>
      </c>
      <c r="R99" s="1109">
        <f t="shared" si="64"/>
        <v>77893.523037974679</v>
      </c>
      <c r="S99" s="1109">
        <f t="shared" si="64"/>
        <v>2420.5569620253164</v>
      </c>
      <c r="T99" s="1109">
        <f t="shared" si="64"/>
        <v>0</v>
      </c>
      <c r="U99" s="1110">
        <f t="shared" si="64"/>
        <v>80314.080000000002</v>
      </c>
      <c r="V99" s="348"/>
      <c r="W99" s="25"/>
      <c r="AB99" s="1105">
        <f>SUM(AB79:AB98)</f>
        <v>4346</v>
      </c>
      <c r="AL99" s="1108">
        <f>SUM(AL79:AL98)</f>
        <v>0</v>
      </c>
      <c r="AT99" s="267"/>
    </row>
    <row r="100" spans="2:46" x14ac:dyDescent="0.2">
      <c r="B100" s="21"/>
      <c r="C100" s="34"/>
      <c r="D100" s="183"/>
      <c r="E100" s="183"/>
      <c r="F100" s="183"/>
      <c r="G100" s="182"/>
      <c r="H100" s="189"/>
      <c r="I100" s="182"/>
      <c r="J100" s="348"/>
      <c r="K100" s="349"/>
      <c r="L100" s="1083"/>
      <c r="M100" s="349"/>
      <c r="N100" s="348"/>
      <c r="O100" s="348"/>
      <c r="P100" s="366"/>
      <c r="Q100" s="366"/>
      <c r="R100" s="366"/>
      <c r="S100" s="366"/>
      <c r="T100" s="352"/>
      <c r="U100" s="367"/>
      <c r="V100" s="348"/>
      <c r="W100" s="25"/>
    </row>
    <row r="101" spans="2:46" ht="12.75" customHeight="1" x14ac:dyDescent="0.2">
      <c r="B101" s="21"/>
      <c r="C101" s="22"/>
      <c r="D101" s="293"/>
      <c r="E101" s="293"/>
      <c r="F101" s="293"/>
      <c r="G101" s="24"/>
      <c r="H101" s="294"/>
      <c r="I101" s="24"/>
      <c r="J101" s="295"/>
      <c r="K101" s="343"/>
      <c r="L101" s="1509"/>
      <c r="M101" s="296"/>
      <c r="N101" s="22"/>
      <c r="O101" s="344"/>
      <c r="P101" s="345"/>
      <c r="Q101" s="345"/>
      <c r="R101" s="345"/>
      <c r="S101" s="345"/>
      <c r="T101" s="346"/>
      <c r="U101" s="347"/>
      <c r="V101" s="22"/>
      <c r="W101" s="819"/>
      <c r="AT101" s="7"/>
    </row>
    <row r="102" spans="2:46" ht="12.75" customHeight="1" x14ac:dyDescent="0.2">
      <c r="B102" s="1628"/>
      <c r="C102" s="817"/>
      <c r="D102" s="1620"/>
      <c r="E102" s="1620"/>
      <c r="F102" s="1620"/>
      <c r="G102" s="1309"/>
      <c r="H102" s="1621"/>
      <c r="I102" s="1309"/>
      <c r="J102" s="1091"/>
      <c r="K102" s="1622"/>
      <c r="L102" s="1509"/>
      <c r="M102" s="1509"/>
      <c r="N102" s="817"/>
      <c r="O102" s="1623"/>
      <c r="P102" s="1624"/>
      <c r="Q102" s="1624"/>
      <c r="R102" s="1624"/>
      <c r="S102" s="1624"/>
      <c r="T102" s="1625"/>
      <c r="U102" s="1626"/>
      <c r="V102" s="817"/>
      <c r="W102" s="1629"/>
    </row>
    <row r="103" spans="2:46" ht="12.75" customHeight="1" x14ac:dyDescent="0.2">
      <c r="B103" s="1628"/>
      <c r="C103" s="817" t="s">
        <v>119</v>
      </c>
      <c r="D103" s="1620"/>
      <c r="E103" s="1627" t="str">
        <f>tab!H2</f>
        <v>2021/22</v>
      </c>
      <c r="F103" s="1620"/>
      <c r="G103" s="1309"/>
      <c r="H103" s="1621"/>
      <c r="I103" s="1309"/>
      <c r="J103" s="1091"/>
      <c r="K103" s="1622"/>
      <c r="L103" s="1509"/>
      <c r="M103" s="1509"/>
      <c r="N103" s="817"/>
      <c r="O103" s="1623"/>
      <c r="P103" s="1624"/>
      <c r="Q103" s="1624"/>
      <c r="R103" s="1624"/>
      <c r="S103" s="1624"/>
      <c r="T103" s="1625"/>
      <c r="U103" s="1626"/>
      <c r="V103" s="817"/>
      <c r="W103" s="1629"/>
    </row>
    <row r="104" spans="2:46" ht="12.75" customHeight="1" x14ac:dyDescent="0.2">
      <c r="B104" s="1628"/>
      <c r="C104" s="817" t="s">
        <v>120</v>
      </c>
      <c r="D104" s="1620"/>
      <c r="E104" s="1627">
        <f>tab!I3</f>
        <v>44470</v>
      </c>
      <c r="F104" s="1620"/>
      <c r="G104" s="1309"/>
      <c r="H104" s="1621"/>
      <c r="I104" s="1309"/>
      <c r="J104" s="1091"/>
      <c r="K104" s="1622"/>
      <c r="L104" s="1509"/>
      <c r="M104" s="1509"/>
      <c r="N104" s="817"/>
      <c r="O104" s="1623"/>
      <c r="P104" s="1624"/>
      <c r="Q104" s="1624"/>
      <c r="R104" s="1624"/>
      <c r="S104" s="1624"/>
      <c r="T104" s="1625"/>
      <c r="U104" s="1626"/>
      <c r="V104" s="817"/>
      <c r="W104" s="1629"/>
    </row>
    <row r="105" spans="2:46" ht="12.75" customHeight="1" x14ac:dyDescent="0.2">
      <c r="B105" s="1628"/>
      <c r="I105" s="165"/>
      <c r="K105" s="268"/>
      <c r="L105" s="1080"/>
      <c r="M105" s="222"/>
      <c r="O105" s="269"/>
      <c r="P105" s="265"/>
      <c r="Q105" s="265"/>
      <c r="R105" s="265"/>
      <c r="S105" s="265"/>
      <c r="T105" s="270"/>
      <c r="U105" s="271"/>
      <c r="W105" s="1629"/>
    </row>
    <row r="106" spans="2:46" ht="12.75" customHeight="1" x14ac:dyDescent="0.2">
      <c r="B106" s="1628"/>
      <c r="C106" s="34"/>
      <c r="D106" s="183"/>
      <c r="E106" s="92"/>
      <c r="F106" s="183"/>
      <c r="G106" s="182"/>
      <c r="H106" s="189"/>
      <c r="I106" s="348"/>
      <c r="J106" s="348"/>
      <c r="K106" s="349"/>
      <c r="L106" s="1083"/>
      <c r="M106" s="350"/>
      <c r="N106" s="34"/>
      <c r="O106" s="351"/>
      <c r="P106" s="34"/>
      <c r="Q106" s="34"/>
      <c r="R106" s="34"/>
      <c r="S106" s="34"/>
      <c r="T106" s="352"/>
      <c r="U106" s="353"/>
      <c r="V106" s="34"/>
      <c r="W106" s="1629"/>
      <c r="X106" s="852"/>
      <c r="AC106" s="1097"/>
      <c r="AD106" s="1098"/>
      <c r="AE106" s="1097"/>
      <c r="AF106" s="1097"/>
      <c r="AG106" s="1097"/>
      <c r="AH106" s="1099"/>
      <c r="AI106" s="1100"/>
      <c r="AJ106" s="1101"/>
      <c r="AK106" s="1102"/>
      <c r="AL106" s="1103"/>
      <c r="AM106" s="255"/>
    </row>
    <row r="107" spans="2:46" s="385" customFormat="1" ht="12.75" customHeight="1" x14ac:dyDescent="0.2">
      <c r="B107" s="1630"/>
      <c r="C107" s="1076"/>
      <c r="D107" s="1072" t="s">
        <v>121</v>
      </c>
      <c r="E107" s="1073"/>
      <c r="F107" s="1073"/>
      <c r="G107" s="1073"/>
      <c r="H107" s="1073"/>
      <c r="I107" s="1073"/>
      <c r="J107" s="1073"/>
      <c r="K107" s="1073"/>
      <c r="L107" s="1081"/>
      <c r="M107" s="1112" t="s">
        <v>649</v>
      </c>
      <c r="N107" s="1113"/>
      <c r="O107" s="1114"/>
      <c r="P107" s="1114"/>
      <c r="Q107" s="1113"/>
      <c r="R107" s="1115" t="s">
        <v>650</v>
      </c>
      <c r="S107" s="1116"/>
      <c r="T107" s="1116"/>
      <c r="U107" s="1116"/>
      <c r="V107" s="1117"/>
      <c r="W107" s="1118"/>
      <c r="X107" s="1119"/>
      <c r="Y107" s="1120"/>
      <c r="Z107" s="1121"/>
      <c r="AA107" s="1121"/>
      <c r="AB107" s="1122"/>
      <c r="AC107" s="1123"/>
      <c r="AD107" s="1124"/>
      <c r="AE107" s="1123"/>
      <c r="AF107" s="1125"/>
      <c r="AG107" s="1125"/>
      <c r="AH107" s="1126"/>
      <c r="AI107" s="1127"/>
      <c r="AJ107" s="1126"/>
      <c r="AK107" s="1128"/>
      <c r="AL107" s="1128"/>
      <c r="AN107" s="264"/>
      <c r="AO107" s="264"/>
    </row>
    <row r="108" spans="2:46" ht="12.75" customHeight="1" x14ac:dyDescent="0.2">
      <c r="B108" s="1628"/>
      <c r="C108" s="354"/>
      <c r="D108" s="369" t="s">
        <v>122</v>
      </c>
      <c r="E108" s="369" t="s">
        <v>123</v>
      </c>
      <c r="F108" s="369" t="s">
        <v>124</v>
      </c>
      <c r="G108" s="370" t="s">
        <v>125</v>
      </c>
      <c r="H108" s="371" t="s">
        <v>126</v>
      </c>
      <c r="I108" s="370" t="s">
        <v>91</v>
      </c>
      <c r="J108" s="370" t="s">
        <v>127</v>
      </c>
      <c r="K108" s="372" t="s">
        <v>128</v>
      </c>
      <c r="L108" s="1084"/>
      <c r="M108" s="1129" t="s">
        <v>651</v>
      </c>
      <c r="N108" s="1130" t="s">
        <v>652</v>
      </c>
      <c r="O108" s="1131" t="s">
        <v>653</v>
      </c>
      <c r="P108" s="1132" t="s">
        <v>654</v>
      </c>
      <c r="Q108" s="1130" t="s">
        <v>655</v>
      </c>
      <c r="R108" s="1131" t="s">
        <v>129</v>
      </c>
      <c r="S108" s="1129" t="s">
        <v>656</v>
      </c>
      <c r="T108" s="1129" t="s">
        <v>657</v>
      </c>
      <c r="U108" s="1129" t="s">
        <v>129</v>
      </c>
      <c r="V108" s="1133"/>
      <c r="W108" s="1134"/>
      <c r="X108" s="1135"/>
      <c r="Y108" s="1136"/>
      <c r="Z108" s="1137"/>
      <c r="AA108" s="1137"/>
      <c r="AB108" s="1141" t="s">
        <v>253</v>
      </c>
      <c r="AC108" s="1142" t="s">
        <v>658</v>
      </c>
      <c r="AD108" s="1143" t="s">
        <v>659</v>
      </c>
      <c r="AE108" s="1143" t="s">
        <v>659</v>
      </c>
      <c r="AF108" s="1143" t="s">
        <v>660</v>
      </c>
      <c r="AG108" s="1143" t="s">
        <v>655</v>
      </c>
      <c r="AH108" s="1143" t="s">
        <v>661</v>
      </c>
      <c r="AI108" s="1143" t="s">
        <v>662</v>
      </c>
      <c r="AJ108" s="1143" t="s">
        <v>663</v>
      </c>
      <c r="AK108" s="1143" t="s">
        <v>131</v>
      </c>
      <c r="AL108" s="1006" t="s">
        <v>266</v>
      </c>
      <c r="AM108" s="6"/>
      <c r="AN108" s="264"/>
      <c r="AO108" s="263"/>
    </row>
    <row r="109" spans="2:46" ht="12.75" customHeight="1" x14ac:dyDescent="0.2">
      <c r="B109" s="1628"/>
      <c r="C109" s="354"/>
      <c r="D109" s="374"/>
      <c r="E109" s="369"/>
      <c r="F109" s="375"/>
      <c r="G109" s="370" t="s">
        <v>133</v>
      </c>
      <c r="H109" s="371" t="s">
        <v>134</v>
      </c>
      <c r="I109" s="370"/>
      <c r="J109" s="370"/>
      <c r="K109" s="372"/>
      <c r="L109" s="1084"/>
      <c r="M109" s="1138" t="s">
        <v>664</v>
      </c>
      <c r="N109" s="1130" t="s">
        <v>665</v>
      </c>
      <c r="O109" s="1131" t="s">
        <v>666</v>
      </c>
      <c r="P109" s="1132" t="s">
        <v>71</v>
      </c>
      <c r="Q109" s="1130" t="s">
        <v>667</v>
      </c>
      <c r="R109" s="1131" t="s">
        <v>668</v>
      </c>
      <c r="S109" s="1139" t="s">
        <v>669</v>
      </c>
      <c r="T109" s="1139" t="s">
        <v>670</v>
      </c>
      <c r="U109" s="1129" t="s">
        <v>71</v>
      </c>
      <c r="V109" s="1133"/>
      <c r="W109" s="1134"/>
      <c r="X109" s="1135"/>
      <c r="Y109" s="1140"/>
      <c r="Z109" s="1137"/>
      <c r="AA109" s="1137"/>
      <c r="AB109" s="1143" t="s">
        <v>671</v>
      </c>
      <c r="AC109" s="1144">
        <f>tab!$E$69</f>
        <v>0.54</v>
      </c>
      <c r="AD109" s="1143" t="s">
        <v>672</v>
      </c>
      <c r="AE109" s="1143" t="s">
        <v>673</v>
      </c>
      <c r="AF109" s="1143" t="s">
        <v>674</v>
      </c>
      <c r="AG109" s="1143" t="s">
        <v>667</v>
      </c>
      <c r="AH109" s="1143" t="s">
        <v>675</v>
      </c>
      <c r="AI109" s="1143" t="s">
        <v>675</v>
      </c>
      <c r="AJ109" s="1143" t="s">
        <v>676</v>
      </c>
      <c r="AK109" s="1143"/>
      <c r="AL109" s="1143" t="s">
        <v>130</v>
      </c>
      <c r="AM109" s="6"/>
      <c r="AO109" s="265"/>
    </row>
    <row r="110" spans="2:46" ht="12.75" customHeight="1" x14ac:dyDescent="0.2">
      <c r="B110" s="1628"/>
      <c r="C110" s="34"/>
      <c r="D110" s="183"/>
      <c r="E110" s="183"/>
      <c r="F110" s="183"/>
      <c r="G110" s="182"/>
      <c r="H110" s="189"/>
      <c r="I110" s="355"/>
      <c r="J110" s="355"/>
      <c r="K110" s="356"/>
      <c r="L110" s="1085"/>
      <c r="M110" s="356"/>
      <c r="N110" s="357"/>
      <c r="O110" s="358"/>
      <c r="P110" s="359"/>
      <c r="Q110" s="359"/>
      <c r="R110" s="359"/>
      <c r="S110" s="359"/>
      <c r="T110" s="360"/>
      <c r="U110" s="361"/>
      <c r="V110" s="357"/>
      <c r="W110" s="1631"/>
      <c r="AC110" s="6"/>
      <c r="AD110" s="6"/>
      <c r="AL110" s="6"/>
      <c r="AM110" s="6"/>
      <c r="AO110" s="265"/>
    </row>
    <row r="111" spans="2:46" ht="12.75" customHeight="1" x14ac:dyDescent="0.2">
      <c r="B111" s="1628"/>
      <c r="C111" s="34"/>
      <c r="D111" s="798" t="str">
        <f t="shared" ref="D111:F130" si="65">IF(D79=0,"",D79)</f>
        <v/>
      </c>
      <c r="E111" s="798" t="str">
        <f t="shared" si="65"/>
        <v>piet</v>
      </c>
      <c r="F111" s="798" t="str">
        <f t="shared" si="65"/>
        <v>chef</v>
      </c>
      <c r="G111" s="799">
        <f t="shared" ref="G111:G130" si="66">IF(G79="","",G79+1)</f>
        <v>25</v>
      </c>
      <c r="H111" s="800">
        <f t="shared" ref="H111:I130" si="67">IF(H79=0,"",H79)</f>
        <v>25600</v>
      </c>
      <c r="I111" s="801" t="str">
        <f t="shared" si="67"/>
        <v>LD</v>
      </c>
      <c r="J111" s="799">
        <f t="shared" ref="J111:J130" si="68">IF(E111="","",IF(J79&lt;VLOOKUP(I111,salmrt2020,18,FALSE),J79+1,J79))</f>
        <v>9</v>
      </c>
      <c r="K111" s="802">
        <f t="shared" ref="K111:K130" si="69">IF(K79="","",K79)</f>
        <v>1</v>
      </c>
      <c r="L111" s="1086"/>
      <c r="M111" s="789">
        <v>0</v>
      </c>
      <c r="N111" s="1215">
        <v>0</v>
      </c>
      <c r="O111" s="1216">
        <f>IF(K111="","",K111*50)</f>
        <v>50</v>
      </c>
      <c r="P111" s="1096">
        <f>SUM(M111:O111)</f>
        <v>50</v>
      </c>
      <c r="Q111" s="1095">
        <v>0</v>
      </c>
      <c r="R111" s="378">
        <f>IF(K111="","",(1659*K111-P111)*AE111)</f>
        <v>83234.58835443038</v>
      </c>
      <c r="S111" s="378">
        <f>IF(K111="","",P111*AF111+AD111*(AH111+AI111*(1-AJ111)))</f>
        <v>2586.5316455696202</v>
      </c>
      <c r="T111" s="379">
        <f>ROUND(IF(K111="",0,+Q111/1659*(AB111*12*(1+tab!$G$79+tab!$G$80)-tab!$G$78)*tab!$G$76),-1)</f>
        <v>0</v>
      </c>
      <c r="U111" s="1111">
        <f>IF(K111="","",IF(E111=0,0,(R111+S111+T111)))</f>
        <v>85821.119999999995</v>
      </c>
      <c r="V111" s="362"/>
      <c r="W111" s="1631"/>
      <c r="AB111" s="1105">
        <f t="shared" ref="AB111:AB130" si="70">IF(I111="","",VLOOKUP(I111,salaug2020,J111+1,FALSE))</f>
        <v>4644</v>
      </c>
      <c r="AC111" s="1144">
        <f>AC$109</f>
        <v>0.54</v>
      </c>
      <c r="AD111" s="1104">
        <f>AB111*12/1659</f>
        <v>33.591320072332728</v>
      </c>
      <c r="AE111" s="1104">
        <f>AB111*12*(1+AC111)/1659</f>
        <v>51.730632911392405</v>
      </c>
      <c r="AF111" s="1104">
        <f>+AE111-AD111</f>
        <v>18.139312839059677</v>
      </c>
      <c r="AG111" s="14">
        <f>Q111</f>
        <v>0</v>
      </c>
      <c r="AH111" s="1106">
        <f>O111</f>
        <v>50</v>
      </c>
      <c r="AI111" s="14">
        <f>(M111+N111)</f>
        <v>0</v>
      </c>
      <c r="AJ111" s="1107">
        <f>IF(I111&gt;8,50%,40%)</f>
        <v>0.5</v>
      </c>
      <c r="AK111" s="6">
        <f>IF(G111&lt;25,0,IF(G111=25,25,IF(G111&lt;40,0,IF(G111=40,40,IF(G111&gt;=40,0)))))</f>
        <v>25</v>
      </c>
      <c r="AL111" s="1108">
        <f>IF(AK111=25,AB111*1.08*K111/2,IF(AK111=40,AB111*1.08*K111,0))</f>
        <v>2507.7600000000002</v>
      </c>
    </row>
    <row r="112" spans="2:46" ht="12.75" customHeight="1" x14ac:dyDescent="0.2">
      <c r="B112" s="1628"/>
      <c r="C112" s="34"/>
      <c r="D112" s="798" t="str">
        <f t="shared" si="65"/>
        <v/>
      </c>
      <c r="E112" s="798" t="str">
        <f t="shared" si="65"/>
        <v/>
      </c>
      <c r="F112" s="798" t="str">
        <f t="shared" si="65"/>
        <v/>
      </c>
      <c r="G112" s="799" t="str">
        <f t="shared" si="66"/>
        <v/>
      </c>
      <c r="H112" s="800" t="str">
        <f t="shared" si="67"/>
        <v/>
      </c>
      <c r="I112" s="801" t="str">
        <f t="shared" si="67"/>
        <v/>
      </c>
      <c r="J112" s="799" t="str">
        <f t="shared" si="68"/>
        <v/>
      </c>
      <c r="K112" s="802" t="str">
        <f t="shared" si="69"/>
        <v/>
      </c>
      <c r="L112" s="1086"/>
      <c r="M112" s="789">
        <v>0</v>
      </c>
      <c r="N112" s="1215">
        <v>0</v>
      </c>
      <c r="O112" s="1216" t="str">
        <f t="shared" ref="O112:O130" si="71">IF(K112="","",K112*50)</f>
        <v/>
      </c>
      <c r="P112" s="1096">
        <f t="shared" ref="P112:P130" si="72">SUM(M112:O112)</f>
        <v>0</v>
      </c>
      <c r="Q112" s="1095">
        <v>0</v>
      </c>
      <c r="R112" s="378" t="str">
        <f t="shared" ref="R112:R130" si="73">IF(K112="","",(1659*K112-P112)*AE112)</f>
        <v/>
      </c>
      <c r="S112" s="378" t="str">
        <f t="shared" ref="S112:S130" si="74">IF(K112="","",P112*AF112+AD112*(AH112+AI112*(1-AJ112)))</f>
        <v/>
      </c>
      <c r="T112" s="379">
        <f>ROUND(IF(K112="",0,+Q112/1659*(AB112*12*(1+tab!$G$79+tab!$G$80)-tab!$G$78)*tab!$G$76),-1)</f>
        <v>0</v>
      </c>
      <c r="U112" s="1111" t="str">
        <f t="shared" ref="U112:U130" si="75">IF(K112="","",IF(E112=0,0,(R112+S112+T112)))</f>
        <v/>
      </c>
      <c r="V112" s="362"/>
      <c r="W112" s="1631"/>
      <c r="AB112" s="1105" t="str">
        <f t="shared" si="70"/>
        <v/>
      </c>
      <c r="AC112" s="1144">
        <f t="shared" ref="AC112:AC130" si="76">AC$109</f>
        <v>0.54</v>
      </c>
      <c r="AD112" s="1104" t="e">
        <f t="shared" ref="AD112:AD130" si="77">AB112*12/1659</f>
        <v>#VALUE!</v>
      </c>
      <c r="AE112" s="1104" t="e">
        <f t="shared" ref="AE112:AE130" si="78">AB112*12*(1+AC112)/1659</f>
        <v>#VALUE!</v>
      </c>
      <c r="AF112" s="1104" t="e">
        <f t="shared" ref="AF112:AF130" si="79">+AE112-AD112</f>
        <v>#VALUE!</v>
      </c>
      <c r="AG112" s="14">
        <f t="shared" ref="AG112:AG130" si="80">Q112</f>
        <v>0</v>
      </c>
      <c r="AH112" s="1106" t="str">
        <f t="shared" ref="AH112:AH130" si="81">O112</f>
        <v/>
      </c>
      <c r="AI112" s="14">
        <f t="shared" ref="AI112:AI130" si="82">(M112+N112)</f>
        <v>0</v>
      </c>
      <c r="AJ112" s="1107">
        <f t="shared" ref="AJ112:AJ130" si="83">IF(I112&gt;8,50%,40%)</f>
        <v>0.5</v>
      </c>
      <c r="AK112" s="6">
        <f t="shared" ref="AK112:AK130" si="84">IF(G112&lt;25,0,IF(G112=25,25,IF(G112&lt;40,0,IF(G112=40,40,IF(G112&gt;=40,0)))))</f>
        <v>0</v>
      </c>
      <c r="AL112" s="1108">
        <f t="shared" ref="AL112:AL130" si="85">IF(AK112=25,AB112*1.08*K112/2,IF(AK112=40,AB112*1.08*K112,0))</f>
        <v>0</v>
      </c>
    </row>
    <row r="113" spans="2:38" ht="12.75" customHeight="1" x14ac:dyDescent="0.2">
      <c r="B113" s="1628"/>
      <c r="C113" s="34"/>
      <c r="D113" s="798" t="str">
        <f t="shared" si="65"/>
        <v/>
      </c>
      <c r="E113" s="803" t="str">
        <f t="shared" si="65"/>
        <v/>
      </c>
      <c r="F113" s="803" t="str">
        <f t="shared" si="65"/>
        <v/>
      </c>
      <c r="G113" s="801" t="str">
        <f t="shared" si="66"/>
        <v/>
      </c>
      <c r="H113" s="804" t="str">
        <f t="shared" si="67"/>
        <v/>
      </c>
      <c r="I113" s="801" t="str">
        <f t="shared" si="67"/>
        <v/>
      </c>
      <c r="J113" s="799" t="str">
        <f t="shared" si="68"/>
        <v/>
      </c>
      <c r="K113" s="805" t="str">
        <f t="shared" si="69"/>
        <v/>
      </c>
      <c r="L113" s="1087"/>
      <c r="M113" s="789">
        <v>0</v>
      </c>
      <c r="N113" s="1215">
        <v>0</v>
      </c>
      <c r="O113" s="1216" t="str">
        <f t="shared" si="71"/>
        <v/>
      </c>
      <c r="P113" s="1096">
        <f t="shared" si="72"/>
        <v>0</v>
      </c>
      <c r="Q113" s="1095">
        <v>0</v>
      </c>
      <c r="R113" s="378" t="str">
        <f t="shared" si="73"/>
        <v/>
      </c>
      <c r="S113" s="378" t="str">
        <f t="shared" si="74"/>
        <v/>
      </c>
      <c r="T113" s="379">
        <f>ROUND(IF(K113="",0,+Q113/1659*(AB113*12*(1+tab!$G$79+tab!$G$80)-tab!$G$78)*tab!$G$76),-1)</f>
        <v>0</v>
      </c>
      <c r="U113" s="1111" t="str">
        <f t="shared" si="75"/>
        <v/>
      </c>
      <c r="V113" s="362"/>
      <c r="W113" s="1631"/>
      <c r="AB113" s="1105" t="str">
        <f t="shared" si="70"/>
        <v/>
      </c>
      <c r="AC113" s="1144">
        <f t="shared" si="76"/>
        <v>0.54</v>
      </c>
      <c r="AD113" s="1104" t="e">
        <f t="shared" si="77"/>
        <v>#VALUE!</v>
      </c>
      <c r="AE113" s="1104" t="e">
        <f t="shared" si="78"/>
        <v>#VALUE!</v>
      </c>
      <c r="AF113" s="1104" t="e">
        <f t="shared" si="79"/>
        <v>#VALUE!</v>
      </c>
      <c r="AG113" s="14">
        <f t="shared" si="80"/>
        <v>0</v>
      </c>
      <c r="AH113" s="1106" t="str">
        <f t="shared" si="81"/>
        <v/>
      </c>
      <c r="AI113" s="14">
        <f t="shared" si="82"/>
        <v>0</v>
      </c>
      <c r="AJ113" s="1107">
        <f t="shared" si="83"/>
        <v>0.5</v>
      </c>
      <c r="AK113" s="6">
        <f t="shared" si="84"/>
        <v>0</v>
      </c>
      <c r="AL113" s="1108">
        <f t="shared" si="85"/>
        <v>0</v>
      </c>
    </row>
    <row r="114" spans="2:38" ht="12.75" customHeight="1" x14ac:dyDescent="0.2">
      <c r="B114" s="1628"/>
      <c r="C114" s="34"/>
      <c r="D114" s="798" t="str">
        <f t="shared" si="65"/>
        <v/>
      </c>
      <c r="E114" s="798" t="str">
        <f t="shared" si="65"/>
        <v/>
      </c>
      <c r="F114" s="798" t="str">
        <f t="shared" si="65"/>
        <v/>
      </c>
      <c r="G114" s="799" t="str">
        <f t="shared" si="66"/>
        <v/>
      </c>
      <c r="H114" s="800" t="str">
        <f t="shared" si="67"/>
        <v/>
      </c>
      <c r="I114" s="801" t="str">
        <f t="shared" si="67"/>
        <v/>
      </c>
      <c r="J114" s="799" t="str">
        <f t="shared" si="68"/>
        <v/>
      </c>
      <c r="K114" s="802" t="str">
        <f t="shared" si="69"/>
        <v/>
      </c>
      <c r="L114" s="1086"/>
      <c r="M114" s="789">
        <v>0</v>
      </c>
      <c r="N114" s="1215">
        <v>0</v>
      </c>
      <c r="O114" s="1216" t="str">
        <f t="shared" si="71"/>
        <v/>
      </c>
      <c r="P114" s="1096">
        <f t="shared" si="72"/>
        <v>0</v>
      </c>
      <c r="Q114" s="1095">
        <v>0</v>
      </c>
      <c r="R114" s="378" t="str">
        <f t="shared" si="73"/>
        <v/>
      </c>
      <c r="S114" s="378" t="str">
        <f t="shared" si="74"/>
        <v/>
      </c>
      <c r="T114" s="379">
        <f>ROUND(IF(K114="",0,+Q114/1659*(AB114*12*(1+tab!$G$79+tab!$G$80)-tab!$G$78)*tab!$G$76),-1)</f>
        <v>0</v>
      </c>
      <c r="U114" s="1111" t="str">
        <f t="shared" si="75"/>
        <v/>
      </c>
      <c r="V114" s="362"/>
      <c r="W114" s="1631"/>
      <c r="AB114" s="1105" t="str">
        <f t="shared" si="70"/>
        <v/>
      </c>
      <c r="AC114" s="1144">
        <f t="shared" si="76"/>
        <v>0.54</v>
      </c>
      <c r="AD114" s="1104" t="e">
        <f t="shared" si="77"/>
        <v>#VALUE!</v>
      </c>
      <c r="AE114" s="1104" t="e">
        <f t="shared" si="78"/>
        <v>#VALUE!</v>
      </c>
      <c r="AF114" s="1104" t="e">
        <f t="shared" si="79"/>
        <v>#VALUE!</v>
      </c>
      <c r="AG114" s="14">
        <f t="shared" si="80"/>
        <v>0</v>
      </c>
      <c r="AH114" s="1106" t="str">
        <f t="shared" si="81"/>
        <v/>
      </c>
      <c r="AI114" s="14">
        <f t="shared" si="82"/>
        <v>0</v>
      </c>
      <c r="AJ114" s="1107">
        <f t="shared" si="83"/>
        <v>0.5</v>
      </c>
      <c r="AK114" s="6">
        <f t="shared" si="84"/>
        <v>0</v>
      </c>
      <c r="AL114" s="1108">
        <f t="shared" si="85"/>
        <v>0</v>
      </c>
    </row>
    <row r="115" spans="2:38" ht="12.75" customHeight="1" x14ac:dyDescent="0.2">
      <c r="B115" s="1628"/>
      <c r="C115" s="34"/>
      <c r="D115" s="798" t="str">
        <f t="shared" si="65"/>
        <v/>
      </c>
      <c r="E115" s="798" t="str">
        <f t="shared" si="65"/>
        <v/>
      </c>
      <c r="F115" s="798" t="str">
        <f t="shared" si="65"/>
        <v/>
      </c>
      <c r="G115" s="799" t="str">
        <f t="shared" si="66"/>
        <v/>
      </c>
      <c r="H115" s="800" t="str">
        <f t="shared" si="67"/>
        <v/>
      </c>
      <c r="I115" s="801" t="str">
        <f t="shared" si="67"/>
        <v/>
      </c>
      <c r="J115" s="799" t="str">
        <f t="shared" si="68"/>
        <v/>
      </c>
      <c r="K115" s="802" t="str">
        <f t="shared" si="69"/>
        <v/>
      </c>
      <c r="L115" s="1086"/>
      <c r="M115" s="789">
        <v>0</v>
      </c>
      <c r="N115" s="1215">
        <v>0</v>
      </c>
      <c r="O115" s="1216" t="str">
        <f t="shared" si="71"/>
        <v/>
      </c>
      <c r="P115" s="1096">
        <f t="shared" si="72"/>
        <v>0</v>
      </c>
      <c r="Q115" s="1095">
        <v>0</v>
      </c>
      <c r="R115" s="378" t="str">
        <f t="shared" si="73"/>
        <v/>
      </c>
      <c r="S115" s="378" t="str">
        <f t="shared" si="74"/>
        <v/>
      </c>
      <c r="T115" s="379">
        <f>ROUND(IF(K115="",0,+Q115/1659*(AB115*12*(1+tab!$G$79+tab!$G$80)-tab!$G$78)*tab!$G$76),-1)</f>
        <v>0</v>
      </c>
      <c r="U115" s="1111" t="str">
        <f t="shared" si="75"/>
        <v/>
      </c>
      <c r="V115" s="362"/>
      <c r="W115" s="1631"/>
      <c r="AB115" s="1105" t="str">
        <f t="shared" si="70"/>
        <v/>
      </c>
      <c r="AC115" s="1144">
        <f t="shared" si="76"/>
        <v>0.54</v>
      </c>
      <c r="AD115" s="1104" t="e">
        <f t="shared" si="77"/>
        <v>#VALUE!</v>
      </c>
      <c r="AE115" s="1104" t="e">
        <f t="shared" si="78"/>
        <v>#VALUE!</v>
      </c>
      <c r="AF115" s="1104" t="e">
        <f t="shared" si="79"/>
        <v>#VALUE!</v>
      </c>
      <c r="AG115" s="14">
        <f t="shared" si="80"/>
        <v>0</v>
      </c>
      <c r="AH115" s="1106" t="str">
        <f t="shared" si="81"/>
        <v/>
      </c>
      <c r="AI115" s="14">
        <f t="shared" si="82"/>
        <v>0</v>
      </c>
      <c r="AJ115" s="1107">
        <f t="shared" si="83"/>
        <v>0.5</v>
      </c>
      <c r="AK115" s="6">
        <f t="shared" si="84"/>
        <v>0</v>
      </c>
      <c r="AL115" s="1108">
        <f t="shared" si="85"/>
        <v>0</v>
      </c>
    </row>
    <row r="116" spans="2:38" ht="12.75" customHeight="1" x14ac:dyDescent="0.2">
      <c r="B116" s="1628"/>
      <c r="C116" s="34"/>
      <c r="D116" s="798" t="str">
        <f t="shared" si="65"/>
        <v/>
      </c>
      <c r="E116" s="798" t="str">
        <f t="shared" si="65"/>
        <v/>
      </c>
      <c r="F116" s="798" t="str">
        <f t="shared" si="65"/>
        <v/>
      </c>
      <c r="G116" s="799" t="str">
        <f t="shared" si="66"/>
        <v/>
      </c>
      <c r="H116" s="800" t="str">
        <f t="shared" si="67"/>
        <v/>
      </c>
      <c r="I116" s="801" t="str">
        <f t="shared" si="67"/>
        <v/>
      </c>
      <c r="J116" s="799" t="str">
        <f t="shared" si="68"/>
        <v/>
      </c>
      <c r="K116" s="802" t="str">
        <f t="shared" si="69"/>
        <v/>
      </c>
      <c r="L116" s="1086"/>
      <c r="M116" s="789">
        <v>0</v>
      </c>
      <c r="N116" s="1215">
        <v>0</v>
      </c>
      <c r="O116" s="1216" t="str">
        <f t="shared" si="71"/>
        <v/>
      </c>
      <c r="P116" s="1096">
        <f t="shared" si="72"/>
        <v>0</v>
      </c>
      <c r="Q116" s="1095">
        <v>0</v>
      </c>
      <c r="R116" s="378" t="str">
        <f t="shared" si="73"/>
        <v/>
      </c>
      <c r="S116" s="378" t="str">
        <f t="shared" si="74"/>
        <v/>
      </c>
      <c r="T116" s="379">
        <f>ROUND(IF(K116="",0,+Q116/1659*(AB116*12*(1+tab!$G$79+tab!$G$80)-tab!$G$78)*tab!$G$76),-1)</f>
        <v>0</v>
      </c>
      <c r="U116" s="1111" t="str">
        <f t="shared" si="75"/>
        <v/>
      </c>
      <c r="V116" s="362"/>
      <c r="W116" s="1631"/>
      <c r="AB116" s="1105" t="str">
        <f t="shared" si="70"/>
        <v/>
      </c>
      <c r="AC116" s="1144">
        <f t="shared" si="76"/>
        <v>0.54</v>
      </c>
      <c r="AD116" s="1104" t="e">
        <f t="shared" si="77"/>
        <v>#VALUE!</v>
      </c>
      <c r="AE116" s="1104" t="e">
        <f t="shared" si="78"/>
        <v>#VALUE!</v>
      </c>
      <c r="AF116" s="1104" t="e">
        <f t="shared" si="79"/>
        <v>#VALUE!</v>
      </c>
      <c r="AG116" s="14">
        <f t="shared" si="80"/>
        <v>0</v>
      </c>
      <c r="AH116" s="1106" t="str">
        <f t="shared" si="81"/>
        <v/>
      </c>
      <c r="AI116" s="14">
        <f t="shared" si="82"/>
        <v>0</v>
      </c>
      <c r="AJ116" s="1107">
        <f t="shared" si="83"/>
        <v>0.5</v>
      </c>
      <c r="AK116" s="6">
        <f t="shared" si="84"/>
        <v>0</v>
      </c>
      <c r="AL116" s="1108">
        <f t="shared" si="85"/>
        <v>0</v>
      </c>
    </row>
    <row r="117" spans="2:38" ht="12.75" customHeight="1" x14ac:dyDescent="0.2">
      <c r="B117" s="1628"/>
      <c r="C117" s="34"/>
      <c r="D117" s="798" t="str">
        <f t="shared" si="65"/>
        <v/>
      </c>
      <c r="E117" s="798" t="str">
        <f t="shared" si="65"/>
        <v/>
      </c>
      <c r="F117" s="798" t="str">
        <f t="shared" si="65"/>
        <v/>
      </c>
      <c r="G117" s="799" t="str">
        <f t="shared" si="66"/>
        <v/>
      </c>
      <c r="H117" s="800" t="str">
        <f t="shared" si="67"/>
        <v/>
      </c>
      <c r="I117" s="801" t="str">
        <f t="shared" si="67"/>
        <v/>
      </c>
      <c r="J117" s="799" t="str">
        <f t="shared" si="68"/>
        <v/>
      </c>
      <c r="K117" s="802" t="str">
        <f t="shared" si="69"/>
        <v/>
      </c>
      <c r="L117" s="1086"/>
      <c r="M117" s="789">
        <v>0</v>
      </c>
      <c r="N117" s="1215">
        <v>0</v>
      </c>
      <c r="O117" s="1216" t="str">
        <f t="shared" si="71"/>
        <v/>
      </c>
      <c r="P117" s="1096">
        <f t="shared" si="72"/>
        <v>0</v>
      </c>
      <c r="Q117" s="1095">
        <v>0</v>
      </c>
      <c r="R117" s="378" t="str">
        <f t="shared" si="73"/>
        <v/>
      </c>
      <c r="S117" s="378" t="str">
        <f t="shared" si="74"/>
        <v/>
      </c>
      <c r="T117" s="379">
        <f>ROUND(IF(K117="",0,+Q117/1659*(AB117*12*(1+tab!$G$79+tab!$G$80)-tab!$G$78)*tab!$G$76),-1)</f>
        <v>0</v>
      </c>
      <c r="U117" s="1111" t="str">
        <f t="shared" si="75"/>
        <v/>
      </c>
      <c r="V117" s="362"/>
      <c r="W117" s="1631"/>
      <c r="AB117" s="1105" t="str">
        <f t="shared" si="70"/>
        <v/>
      </c>
      <c r="AC117" s="1144">
        <f t="shared" si="76"/>
        <v>0.54</v>
      </c>
      <c r="AD117" s="1104" t="e">
        <f t="shared" si="77"/>
        <v>#VALUE!</v>
      </c>
      <c r="AE117" s="1104" t="e">
        <f t="shared" si="78"/>
        <v>#VALUE!</v>
      </c>
      <c r="AF117" s="1104" t="e">
        <f t="shared" si="79"/>
        <v>#VALUE!</v>
      </c>
      <c r="AG117" s="14">
        <f t="shared" si="80"/>
        <v>0</v>
      </c>
      <c r="AH117" s="1106" t="str">
        <f t="shared" si="81"/>
        <v/>
      </c>
      <c r="AI117" s="14">
        <f t="shared" si="82"/>
        <v>0</v>
      </c>
      <c r="AJ117" s="1107">
        <f t="shared" si="83"/>
        <v>0.5</v>
      </c>
      <c r="AK117" s="6">
        <f t="shared" si="84"/>
        <v>0</v>
      </c>
      <c r="AL117" s="1108">
        <f t="shared" si="85"/>
        <v>0</v>
      </c>
    </row>
    <row r="118" spans="2:38" ht="12.75" customHeight="1" x14ac:dyDescent="0.2">
      <c r="B118" s="1628"/>
      <c r="C118" s="34"/>
      <c r="D118" s="798" t="str">
        <f t="shared" si="65"/>
        <v/>
      </c>
      <c r="E118" s="798" t="str">
        <f t="shared" si="65"/>
        <v/>
      </c>
      <c r="F118" s="798" t="str">
        <f t="shared" si="65"/>
        <v/>
      </c>
      <c r="G118" s="799" t="str">
        <f t="shared" si="66"/>
        <v/>
      </c>
      <c r="H118" s="800" t="str">
        <f t="shared" si="67"/>
        <v/>
      </c>
      <c r="I118" s="801" t="str">
        <f t="shared" si="67"/>
        <v/>
      </c>
      <c r="J118" s="799" t="str">
        <f t="shared" si="68"/>
        <v/>
      </c>
      <c r="K118" s="802" t="str">
        <f t="shared" si="69"/>
        <v/>
      </c>
      <c r="L118" s="1086"/>
      <c r="M118" s="789">
        <v>0</v>
      </c>
      <c r="N118" s="1215">
        <v>0</v>
      </c>
      <c r="O118" s="1216" t="str">
        <f t="shared" si="71"/>
        <v/>
      </c>
      <c r="P118" s="1096">
        <f t="shared" si="72"/>
        <v>0</v>
      </c>
      <c r="Q118" s="1095">
        <v>0</v>
      </c>
      <c r="R118" s="378" t="str">
        <f t="shared" si="73"/>
        <v/>
      </c>
      <c r="S118" s="378" t="str">
        <f t="shared" si="74"/>
        <v/>
      </c>
      <c r="T118" s="379">
        <f>ROUND(IF(K118="",0,+Q118/1659*(AB118*12*(1+tab!$G$79+tab!$G$80)-tab!$G$78)*tab!$G$76),-1)</f>
        <v>0</v>
      </c>
      <c r="U118" s="1111" t="str">
        <f t="shared" si="75"/>
        <v/>
      </c>
      <c r="V118" s="362"/>
      <c r="W118" s="1631"/>
      <c r="AB118" s="1105" t="str">
        <f t="shared" si="70"/>
        <v/>
      </c>
      <c r="AC118" s="1144">
        <f t="shared" si="76"/>
        <v>0.54</v>
      </c>
      <c r="AD118" s="1104" t="e">
        <f t="shared" si="77"/>
        <v>#VALUE!</v>
      </c>
      <c r="AE118" s="1104" t="e">
        <f t="shared" si="78"/>
        <v>#VALUE!</v>
      </c>
      <c r="AF118" s="1104" t="e">
        <f t="shared" si="79"/>
        <v>#VALUE!</v>
      </c>
      <c r="AG118" s="14">
        <f t="shared" si="80"/>
        <v>0</v>
      </c>
      <c r="AH118" s="1106" t="str">
        <f t="shared" si="81"/>
        <v/>
      </c>
      <c r="AI118" s="14">
        <f t="shared" si="82"/>
        <v>0</v>
      </c>
      <c r="AJ118" s="1107">
        <f t="shared" si="83"/>
        <v>0.5</v>
      </c>
      <c r="AK118" s="6">
        <f t="shared" si="84"/>
        <v>0</v>
      </c>
      <c r="AL118" s="1108">
        <f t="shared" si="85"/>
        <v>0</v>
      </c>
    </row>
    <row r="119" spans="2:38" ht="12.75" customHeight="1" x14ac:dyDescent="0.2">
      <c r="B119" s="1628"/>
      <c r="C119" s="34"/>
      <c r="D119" s="798" t="str">
        <f t="shared" si="65"/>
        <v/>
      </c>
      <c r="E119" s="798" t="str">
        <f t="shared" si="65"/>
        <v/>
      </c>
      <c r="F119" s="798" t="str">
        <f t="shared" si="65"/>
        <v/>
      </c>
      <c r="G119" s="799" t="str">
        <f t="shared" si="66"/>
        <v/>
      </c>
      <c r="H119" s="800" t="str">
        <f t="shared" si="67"/>
        <v/>
      </c>
      <c r="I119" s="801" t="str">
        <f t="shared" si="67"/>
        <v/>
      </c>
      <c r="J119" s="799" t="str">
        <f t="shared" si="68"/>
        <v/>
      </c>
      <c r="K119" s="802" t="str">
        <f t="shared" si="69"/>
        <v/>
      </c>
      <c r="L119" s="1086"/>
      <c r="M119" s="789">
        <v>0</v>
      </c>
      <c r="N119" s="1215">
        <v>0</v>
      </c>
      <c r="O119" s="1216" t="str">
        <f t="shared" si="71"/>
        <v/>
      </c>
      <c r="P119" s="1096">
        <f t="shared" si="72"/>
        <v>0</v>
      </c>
      <c r="Q119" s="1095">
        <v>0</v>
      </c>
      <c r="R119" s="378" t="str">
        <f t="shared" si="73"/>
        <v/>
      </c>
      <c r="S119" s="378" t="str">
        <f t="shared" si="74"/>
        <v/>
      </c>
      <c r="T119" s="379">
        <f>ROUND(IF(K119="",0,+Q119/1659*(AB119*12*(1+tab!$G$79+tab!$G$80)-tab!$G$78)*tab!$G$76),-1)</f>
        <v>0</v>
      </c>
      <c r="U119" s="1111" t="str">
        <f t="shared" si="75"/>
        <v/>
      </c>
      <c r="V119" s="362"/>
      <c r="W119" s="1631"/>
      <c r="AB119" s="1105" t="str">
        <f t="shared" si="70"/>
        <v/>
      </c>
      <c r="AC119" s="1144">
        <f t="shared" si="76"/>
        <v>0.54</v>
      </c>
      <c r="AD119" s="1104" t="e">
        <f t="shared" si="77"/>
        <v>#VALUE!</v>
      </c>
      <c r="AE119" s="1104" t="e">
        <f t="shared" si="78"/>
        <v>#VALUE!</v>
      </c>
      <c r="AF119" s="1104" t="e">
        <f t="shared" si="79"/>
        <v>#VALUE!</v>
      </c>
      <c r="AG119" s="14">
        <f t="shared" si="80"/>
        <v>0</v>
      </c>
      <c r="AH119" s="1106" t="str">
        <f t="shared" si="81"/>
        <v/>
      </c>
      <c r="AI119" s="14">
        <f t="shared" si="82"/>
        <v>0</v>
      </c>
      <c r="AJ119" s="1107">
        <f t="shared" si="83"/>
        <v>0.5</v>
      </c>
      <c r="AK119" s="6">
        <f t="shared" si="84"/>
        <v>0</v>
      </c>
      <c r="AL119" s="1108">
        <f t="shared" si="85"/>
        <v>0</v>
      </c>
    </row>
    <row r="120" spans="2:38" ht="12.75" customHeight="1" x14ac:dyDescent="0.2">
      <c r="B120" s="1628"/>
      <c r="C120" s="34"/>
      <c r="D120" s="798" t="str">
        <f t="shared" si="65"/>
        <v/>
      </c>
      <c r="E120" s="798" t="str">
        <f t="shared" si="65"/>
        <v/>
      </c>
      <c r="F120" s="798" t="str">
        <f t="shared" si="65"/>
        <v/>
      </c>
      <c r="G120" s="799" t="str">
        <f t="shared" si="66"/>
        <v/>
      </c>
      <c r="H120" s="800" t="str">
        <f t="shared" si="67"/>
        <v/>
      </c>
      <c r="I120" s="801" t="str">
        <f t="shared" si="67"/>
        <v/>
      </c>
      <c r="J120" s="799" t="str">
        <f t="shared" si="68"/>
        <v/>
      </c>
      <c r="K120" s="802" t="str">
        <f t="shared" si="69"/>
        <v/>
      </c>
      <c r="L120" s="1086"/>
      <c r="M120" s="789">
        <v>0</v>
      </c>
      <c r="N120" s="1215">
        <v>0</v>
      </c>
      <c r="O120" s="1216" t="str">
        <f t="shared" si="71"/>
        <v/>
      </c>
      <c r="P120" s="1096">
        <f t="shared" si="72"/>
        <v>0</v>
      </c>
      <c r="Q120" s="1095">
        <v>0</v>
      </c>
      <c r="R120" s="378" t="str">
        <f t="shared" si="73"/>
        <v/>
      </c>
      <c r="S120" s="378" t="str">
        <f t="shared" si="74"/>
        <v/>
      </c>
      <c r="T120" s="379">
        <f>ROUND(IF(K120="",0,+Q120/1659*(AB120*12*(1+tab!$G$79+tab!$G$80)-tab!$G$78)*tab!$G$76),-1)</f>
        <v>0</v>
      </c>
      <c r="U120" s="1111" t="str">
        <f t="shared" si="75"/>
        <v/>
      </c>
      <c r="V120" s="362"/>
      <c r="W120" s="1631"/>
      <c r="AB120" s="1105" t="str">
        <f t="shared" si="70"/>
        <v/>
      </c>
      <c r="AC120" s="1144">
        <f t="shared" si="76"/>
        <v>0.54</v>
      </c>
      <c r="AD120" s="1104" t="e">
        <f t="shared" si="77"/>
        <v>#VALUE!</v>
      </c>
      <c r="AE120" s="1104" t="e">
        <f t="shared" si="78"/>
        <v>#VALUE!</v>
      </c>
      <c r="AF120" s="1104" t="e">
        <f t="shared" si="79"/>
        <v>#VALUE!</v>
      </c>
      <c r="AG120" s="14">
        <f t="shared" si="80"/>
        <v>0</v>
      </c>
      <c r="AH120" s="1106" t="str">
        <f t="shared" si="81"/>
        <v/>
      </c>
      <c r="AI120" s="14">
        <f t="shared" si="82"/>
        <v>0</v>
      </c>
      <c r="AJ120" s="1107">
        <f t="shared" si="83"/>
        <v>0.5</v>
      </c>
      <c r="AK120" s="6">
        <f t="shared" si="84"/>
        <v>0</v>
      </c>
      <c r="AL120" s="1108">
        <f t="shared" si="85"/>
        <v>0</v>
      </c>
    </row>
    <row r="121" spans="2:38" ht="12.75" customHeight="1" x14ac:dyDescent="0.2">
      <c r="B121" s="1628"/>
      <c r="C121" s="34"/>
      <c r="D121" s="798" t="str">
        <f t="shared" si="65"/>
        <v/>
      </c>
      <c r="E121" s="798" t="str">
        <f t="shared" si="65"/>
        <v/>
      </c>
      <c r="F121" s="798" t="str">
        <f t="shared" si="65"/>
        <v/>
      </c>
      <c r="G121" s="799" t="str">
        <f t="shared" si="66"/>
        <v/>
      </c>
      <c r="H121" s="800" t="str">
        <f t="shared" si="67"/>
        <v/>
      </c>
      <c r="I121" s="801" t="str">
        <f t="shared" si="67"/>
        <v/>
      </c>
      <c r="J121" s="799" t="str">
        <f t="shared" si="68"/>
        <v/>
      </c>
      <c r="K121" s="802" t="str">
        <f t="shared" si="69"/>
        <v/>
      </c>
      <c r="L121" s="1086"/>
      <c r="M121" s="789">
        <v>0</v>
      </c>
      <c r="N121" s="1215">
        <v>0</v>
      </c>
      <c r="O121" s="1216" t="str">
        <f t="shared" si="71"/>
        <v/>
      </c>
      <c r="P121" s="1096">
        <f t="shared" si="72"/>
        <v>0</v>
      </c>
      <c r="Q121" s="1095">
        <v>0</v>
      </c>
      <c r="R121" s="378" t="str">
        <f t="shared" si="73"/>
        <v/>
      </c>
      <c r="S121" s="378" t="str">
        <f t="shared" si="74"/>
        <v/>
      </c>
      <c r="T121" s="379">
        <f>ROUND(IF(K121="",0,+Q121/1659*(AB121*12*(1+tab!$G$79+tab!$G$80)-tab!$G$78)*tab!$G$76),-1)</f>
        <v>0</v>
      </c>
      <c r="U121" s="1111" t="str">
        <f t="shared" si="75"/>
        <v/>
      </c>
      <c r="V121" s="362"/>
      <c r="W121" s="1631"/>
      <c r="AB121" s="1105" t="str">
        <f t="shared" si="70"/>
        <v/>
      </c>
      <c r="AC121" s="1144">
        <f t="shared" si="76"/>
        <v>0.54</v>
      </c>
      <c r="AD121" s="1104" t="e">
        <f t="shared" si="77"/>
        <v>#VALUE!</v>
      </c>
      <c r="AE121" s="1104" t="e">
        <f t="shared" si="78"/>
        <v>#VALUE!</v>
      </c>
      <c r="AF121" s="1104" t="e">
        <f t="shared" si="79"/>
        <v>#VALUE!</v>
      </c>
      <c r="AG121" s="14">
        <f t="shared" si="80"/>
        <v>0</v>
      </c>
      <c r="AH121" s="1106" t="str">
        <f t="shared" si="81"/>
        <v/>
      </c>
      <c r="AI121" s="14">
        <f t="shared" si="82"/>
        <v>0</v>
      </c>
      <c r="AJ121" s="1107">
        <f t="shared" si="83"/>
        <v>0.5</v>
      </c>
      <c r="AK121" s="6">
        <f t="shared" si="84"/>
        <v>0</v>
      </c>
      <c r="AL121" s="1108">
        <f t="shared" si="85"/>
        <v>0</v>
      </c>
    </row>
    <row r="122" spans="2:38" ht="12.75" customHeight="1" x14ac:dyDescent="0.2">
      <c r="B122" s="1628"/>
      <c r="C122" s="34"/>
      <c r="D122" s="798" t="str">
        <f t="shared" si="65"/>
        <v/>
      </c>
      <c r="E122" s="798" t="str">
        <f t="shared" si="65"/>
        <v/>
      </c>
      <c r="F122" s="798" t="str">
        <f t="shared" si="65"/>
        <v/>
      </c>
      <c r="G122" s="799" t="str">
        <f t="shared" si="66"/>
        <v/>
      </c>
      <c r="H122" s="800" t="str">
        <f t="shared" si="67"/>
        <v/>
      </c>
      <c r="I122" s="801" t="str">
        <f t="shared" si="67"/>
        <v/>
      </c>
      <c r="J122" s="799" t="str">
        <f t="shared" si="68"/>
        <v/>
      </c>
      <c r="K122" s="802" t="str">
        <f t="shared" si="69"/>
        <v/>
      </c>
      <c r="L122" s="1086"/>
      <c r="M122" s="789">
        <v>0</v>
      </c>
      <c r="N122" s="1215">
        <v>0</v>
      </c>
      <c r="O122" s="1216" t="str">
        <f t="shared" si="71"/>
        <v/>
      </c>
      <c r="P122" s="1096">
        <f t="shared" si="72"/>
        <v>0</v>
      </c>
      <c r="Q122" s="1095">
        <v>0</v>
      </c>
      <c r="R122" s="378" t="str">
        <f t="shared" si="73"/>
        <v/>
      </c>
      <c r="S122" s="378" t="str">
        <f t="shared" si="74"/>
        <v/>
      </c>
      <c r="T122" s="379">
        <f>ROUND(IF(K122="",0,+Q122/1659*(AB122*12*(1+tab!$G$79+tab!$G$80)-tab!$G$78)*tab!$G$76),-1)</f>
        <v>0</v>
      </c>
      <c r="U122" s="1111" t="str">
        <f t="shared" si="75"/>
        <v/>
      </c>
      <c r="V122" s="362"/>
      <c r="W122" s="1631"/>
      <c r="AB122" s="1105" t="str">
        <f t="shared" si="70"/>
        <v/>
      </c>
      <c r="AC122" s="1144">
        <f t="shared" si="76"/>
        <v>0.54</v>
      </c>
      <c r="AD122" s="1104" t="e">
        <f t="shared" si="77"/>
        <v>#VALUE!</v>
      </c>
      <c r="AE122" s="1104" t="e">
        <f t="shared" si="78"/>
        <v>#VALUE!</v>
      </c>
      <c r="AF122" s="1104" t="e">
        <f t="shared" si="79"/>
        <v>#VALUE!</v>
      </c>
      <c r="AG122" s="14">
        <f t="shared" si="80"/>
        <v>0</v>
      </c>
      <c r="AH122" s="1106" t="str">
        <f t="shared" si="81"/>
        <v/>
      </c>
      <c r="AI122" s="14">
        <f t="shared" si="82"/>
        <v>0</v>
      </c>
      <c r="AJ122" s="1107">
        <f t="shared" si="83"/>
        <v>0.5</v>
      </c>
      <c r="AK122" s="6">
        <f t="shared" si="84"/>
        <v>0</v>
      </c>
      <c r="AL122" s="1108">
        <f t="shared" si="85"/>
        <v>0</v>
      </c>
    </row>
    <row r="123" spans="2:38" ht="12.75" customHeight="1" x14ac:dyDescent="0.2">
      <c r="B123" s="1628"/>
      <c r="C123" s="34"/>
      <c r="D123" s="798" t="str">
        <f t="shared" si="65"/>
        <v/>
      </c>
      <c r="E123" s="798" t="str">
        <f t="shared" si="65"/>
        <v/>
      </c>
      <c r="F123" s="798" t="str">
        <f t="shared" si="65"/>
        <v/>
      </c>
      <c r="G123" s="799" t="str">
        <f t="shared" si="66"/>
        <v/>
      </c>
      <c r="H123" s="800" t="str">
        <f t="shared" si="67"/>
        <v/>
      </c>
      <c r="I123" s="801" t="str">
        <f t="shared" si="67"/>
        <v/>
      </c>
      <c r="J123" s="799" t="str">
        <f t="shared" si="68"/>
        <v/>
      </c>
      <c r="K123" s="802" t="str">
        <f t="shared" si="69"/>
        <v/>
      </c>
      <c r="L123" s="1086"/>
      <c r="M123" s="789">
        <v>0</v>
      </c>
      <c r="N123" s="1215">
        <v>0</v>
      </c>
      <c r="O123" s="1216" t="str">
        <f t="shared" si="71"/>
        <v/>
      </c>
      <c r="P123" s="1096">
        <f t="shared" si="72"/>
        <v>0</v>
      </c>
      <c r="Q123" s="1095">
        <v>0</v>
      </c>
      <c r="R123" s="378" t="str">
        <f t="shared" si="73"/>
        <v/>
      </c>
      <c r="S123" s="378" t="str">
        <f t="shared" si="74"/>
        <v/>
      </c>
      <c r="T123" s="379">
        <f>ROUND(IF(K123="",0,+Q123/1659*(AB123*12*(1+tab!$G$79+tab!$G$80)-tab!$G$78)*tab!$G$76),-1)</f>
        <v>0</v>
      </c>
      <c r="U123" s="1111" t="str">
        <f t="shared" si="75"/>
        <v/>
      </c>
      <c r="V123" s="362"/>
      <c r="W123" s="1631"/>
      <c r="AB123" s="1105" t="str">
        <f t="shared" si="70"/>
        <v/>
      </c>
      <c r="AC123" s="1144">
        <f t="shared" si="76"/>
        <v>0.54</v>
      </c>
      <c r="AD123" s="1104" t="e">
        <f t="shared" si="77"/>
        <v>#VALUE!</v>
      </c>
      <c r="AE123" s="1104" t="e">
        <f t="shared" si="78"/>
        <v>#VALUE!</v>
      </c>
      <c r="AF123" s="1104" t="e">
        <f t="shared" si="79"/>
        <v>#VALUE!</v>
      </c>
      <c r="AG123" s="14">
        <f t="shared" si="80"/>
        <v>0</v>
      </c>
      <c r="AH123" s="1106" t="str">
        <f t="shared" si="81"/>
        <v/>
      </c>
      <c r="AI123" s="14">
        <f t="shared" si="82"/>
        <v>0</v>
      </c>
      <c r="AJ123" s="1107">
        <f t="shared" si="83"/>
        <v>0.5</v>
      </c>
      <c r="AK123" s="6">
        <f t="shared" si="84"/>
        <v>0</v>
      </c>
      <c r="AL123" s="1108">
        <f t="shared" si="85"/>
        <v>0</v>
      </c>
    </row>
    <row r="124" spans="2:38" ht="12.75" customHeight="1" x14ac:dyDescent="0.2">
      <c r="B124" s="1628"/>
      <c r="C124" s="34"/>
      <c r="D124" s="798" t="str">
        <f t="shared" si="65"/>
        <v/>
      </c>
      <c r="E124" s="798" t="str">
        <f t="shared" si="65"/>
        <v/>
      </c>
      <c r="F124" s="798" t="str">
        <f t="shared" si="65"/>
        <v/>
      </c>
      <c r="G124" s="799" t="str">
        <f t="shared" si="66"/>
        <v/>
      </c>
      <c r="H124" s="800" t="str">
        <f t="shared" si="67"/>
        <v/>
      </c>
      <c r="I124" s="801" t="str">
        <f t="shared" si="67"/>
        <v/>
      </c>
      <c r="J124" s="799" t="str">
        <f t="shared" si="68"/>
        <v/>
      </c>
      <c r="K124" s="802" t="str">
        <f t="shared" si="69"/>
        <v/>
      </c>
      <c r="L124" s="1086"/>
      <c r="M124" s="789">
        <v>0</v>
      </c>
      <c r="N124" s="1215">
        <v>0</v>
      </c>
      <c r="O124" s="1216" t="str">
        <f t="shared" si="71"/>
        <v/>
      </c>
      <c r="P124" s="1096">
        <f t="shared" si="72"/>
        <v>0</v>
      </c>
      <c r="Q124" s="1095">
        <v>0</v>
      </c>
      <c r="R124" s="378" t="str">
        <f t="shared" si="73"/>
        <v/>
      </c>
      <c r="S124" s="378" t="str">
        <f t="shared" si="74"/>
        <v/>
      </c>
      <c r="T124" s="379">
        <f>ROUND(IF(K124="",0,+Q124/1659*(AB124*12*(1+tab!$G$79+tab!$G$80)-tab!$G$78)*tab!$G$76),-1)</f>
        <v>0</v>
      </c>
      <c r="U124" s="1111" t="str">
        <f t="shared" si="75"/>
        <v/>
      </c>
      <c r="V124" s="362"/>
      <c r="W124" s="1631"/>
      <c r="AB124" s="1105" t="str">
        <f t="shared" si="70"/>
        <v/>
      </c>
      <c r="AC124" s="1144">
        <f t="shared" si="76"/>
        <v>0.54</v>
      </c>
      <c r="AD124" s="1104" t="e">
        <f t="shared" si="77"/>
        <v>#VALUE!</v>
      </c>
      <c r="AE124" s="1104" t="e">
        <f t="shared" si="78"/>
        <v>#VALUE!</v>
      </c>
      <c r="AF124" s="1104" t="e">
        <f t="shared" si="79"/>
        <v>#VALUE!</v>
      </c>
      <c r="AG124" s="14">
        <f t="shared" si="80"/>
        <v>0</v>
      </c>
      <c r="AH124" s="1106" t="str">
        <f t="shared" si="81"/>
        <v/>
      </c>
      <c r="AI124" s="14">
        <f t="shared" si="82"/>
        <v>0</v>
      </c>
      <c r="AJ124" s="1107">
        <f t="shared" si="83"/>
        <v>0.5</v>
      </c>
      <c r="AK124" s="6">
        <f t="shared" si="84"/>
        <v>0</v>
      </c>
      <c r="AL124" s="1108">
        <f t="shared" si="85"/>
        <v>0</v>
      </c>
    </row>
    <row r="125" spans="2:38" ht="12.75" customHeight="1" x14ac:dyDescent="0.2">
      <c r="B125" s="1628"/>
      <c r="C125" s="34"/>
      <c r="D125" s="798" t="str">
        <f t="shared" si="65"/>
        <v/>
      </c>
      <c r="E125" s="798" t="str">
        <f t="shared" si="65"/>
        <v/>
      </c>
      <c r="F125" s="798" t="str">
        <f t="shared" si="65"/>
        <v/>
      </c>
      <c r="G125" s="799" t="str">
        <f t="shared" si="66"/>
        <v/>
      </c>
      <c r="H125" s="800" t="str">
        <f t="shared" si="67"/>
        <v/>
      </c>
      <c r="I125" s="801" t="str">
        <f t="shared" si="67"/>
        <v/>
      </c>
      <c r="J125" s="799" t="str">
        <f t="shared" si="68"/>
        <v/>
      </c>
      <c r="K125" s="802" t="str">
        <f t="shared" si="69"/>
        <v/>
      </c>
      <c r="L125" s="1086"/>
      <c r="M125" s="789">
        <v>0</v>
      </c>
      <c r="N125" s="1215">
        <v>0</v>
      </c>
      <c r="O125" s="1216" t="str">
        <f t="shared" si="71"/>
        <v/>
      </c>
      <c r="P125" s="1096">
        <f t="shared" si="72"/>
        <v>0</v>
      </c>
      <c r="Q125" s="1095">
        <v>0</v>
      </c>
      <c r="R125" s="378" t="str">
        <f t="shared" si="73"/>
        <v/>
      </c>
      <c r="S125" s="378" t="str">
        <f t="shared" si="74"/>
        <v/>
      </c>
      <c r="T125" s="379">
        <f>ROUND(IF(K125="",0,+Q125/1659*(AB125*12*(1+tab!$G$79+tab!$G$80)-tab!$G$78)*tab!$G$76),-1)</f>
        <v>0</v>
      </c>
      <c r="U125" s="1111" t="str">
        <f t="shared" si="75"/>
        <v/>
      </c>
      <c r="V125" s="362"/>
      <c r="W125" s="1631"/>
      <c r="AB125" s="1105" t="str">
        <f t="shared" si="70"/>
        <v/>
      </c>
      <c r="AC125" s="1144">
        <f t="shared" si="76"/>
        <v>0.54</v>
      </c>
      <c r="AD125" s="1104" t="e">
        <f t="shared" si="77"/>
        <v>#VALUE!</v>
      </c>
      <c r="AE125" s="1104" t="e">
        <f t="shared" si="78"/>
        <v>#VALUE!</v>
      </c>
      <c r="AF125" s="1104" t="e">
        <f t="shared" si="79"/>
        <v>#VALUE!</v>
      </c>
      <c r="AG125" s="14">
        <f t="shared" si="80"/>
        <v>0</v>
      </c>
      <c r="AH125" s="1106" t="str">
        <f t="shared" si="81"/>
        <v/>
      </c>
      <c r="AI125" s="14">
        <f t="shared" si="82"/>
        <v>0</v>
      </c>
      <c r="AJ125" s="1107">
        <f t="shared" si="83"/>
        <v>0.5</v>
      </c>
      <c r="AK125" s="6">
        <f t="shared" si="84"/>
        <v>0</v>
      </c>
      <c r="AL125" s="1108">
        <f t="shared" si="85"/>
        <v>0</v>
      </c>
    </row>
    <row r="126" spans="2:38" ht="12.75" customHeight="1" x14ac:dyDescent="0.2">
      <c r="B126" s="1628"/>
      <c r="C126" s="34"/>
      <c r="D126" s="798" t="str">
        <f t="shared" si="65"/>
        <v/>
      </c>
      <c r="E126" s="798" t="str">
        <f t="shared" si="65"/>
        <v/>
      </c>
      <c r="F126" s="798" t="str">
        <f t="shared" si="65"/>
        <v/>
      </c>
      <c r="G126" s="799" t="str">
        <f t="shared" si="66"/>
        <v/>
      </c>
      <c r="H126" s="800" t="str">
        <f t="shared" si="67"/>
        <v/>
      </c>
      <c r="I126" s="801" t="str">
        <f t="shared" si="67"/>
        <v/>
      </c>
      <c r="J126" s="799" t="str">
        <f t="shared" si="68"/>
        <v/>
      </c>
      <c r="K126" s="802" t="str">
        <f t="shared" si="69"/>
        <v/>
      </c>
      <c r="L126" s="1086"/>
      <c r="M126" s="789">
        <v>0</v>
      </c>
      <c r="N126" s="1215">
        <v>0</v>
      </c>
      <c r="O126" s="1216" t="str">
        <f t="shared" si="71"/>
        <v/>
      </c>
      <c r="P126" s="1096">
        <f t="shared" si="72"/>
        <v>0</v>
      </c>
      <c r="Q126" s="1095">
        <v>0</v>
      </c>
      <c r="R126" s="378" t="str">
        <f t="shared" si="73"/>
        <v/>
      </c>
      <c r="S126" s="378" t="str">
        <f t="shared" si="74"/>
        <v/>
      </c>
      <c r="T126" s="379">
        <f>ROUND(IF(K126="",0,+Q126/1659*(AB126*12*(1+tab!$G$79+tab!$G$80)-tab!$G$78)*tab!$G$76),-1)</f>
        <v>0</v>
      </c>
      <c r="U126" s="1111" t="str">
        <f t="shared" si="75"/>
        <v/>
      </c>
      <c r="V126" s="362"/>
      <c r="W126" s="1631"/>
      <c r="AB126" s="1105" t="str">
        <f t="shared" si="70"/>
        <v/>
      </c>
      <c r="AC126" s="1144">
        <f t="shared" si="76"/>
        <v>0.54</v>
      </c>
      <c r="AD126" s="1104" t="e">
        <f t="shared" si="77"/>
        <v>#VALUE!</v>
      </c>
      <c r="AE126" s="1104" t="e">
        <f t="shared" si="78"/>
        <v>#VALUE!</v>
      </c>
      <c r="AF126" s="1104" t="e">
        <f t="shared" si="79"/>
        <v>#VALUE!</v>
      </c>
      <c r="AG126" s="14">
        <f t="shared" si="80"/>
        <v>0</v>
      </c>
      <c r="AH126" s="1106" t="str">
        <f t="shared" si="81"/>
        <v/>
      </c>
      <c r="AI126" s="14">
        <f t="shared" si="82"/>
        <v>0</v>
      </c>
      <c r="AJ126" s="1107">
        <f t="shared" si="83"/>
        <v>0.5</v>
      </c>
      <c r="AK126" s="6">
        <f t="shared" si="84"/>
        <v>0</v>
      </c>
      <c r="AL126" s="1108">
        <f t="shared" si="85"/>
        <v>0</v>
      </c>
    </row>
    <row r="127" spans="2:38" ht="12.75" customHeight="1" x14ac:dyDescent="0.2">
      <c r="B127" s="1628"/>
      <c r="C127" s="34"/>
      <c r="D127" s="798" t="str">
        <f t="shared" si="65"/>
        <v/>
      </c>
      <c r="E127" s="798" t="str">
        <f t="shared" si="65"/>
        <v/>
      </c>
      <c r="F127" s="798" t="str">
        <f t="shared" si="65"/>
        <v/>
      </c>
      <c r="G127" s="799" t="str">
        <f t="shared" si="66"/>
        <v/>
      </c>
      <c r="H127" s="800" t="str">
        <f t="shared" si="67"/>
        <v/>
      </c>
      <c r="I127" s="801" t="str">
        <f t="shared" si="67"/>
        <v/>
      </c>
      <c r="J127" s="799" t="str">
        <f t="shared" si="68"/>
        <v/>
      </c>
      <c r="K127" s="802" t="str">
        <f t="shared" si="69"/>
        <v/>
      </c>
      <c r="L127" s="1086"/>
      <c r="M127" s="789">
        <v>0</v>
      </c>
      <c r="N127" s="1215">
        <v>0</v>
      </c>
      <c r="O127" s="1216" t="str">
        <f t="shared" si="71"/>
        <v/>
      </c>
      <c r="P127" s="1096">
        <f t="shared" si="72"/>
        <v>0</v>
      </c>
      <c r="Q127" s="1095">
        <v>0</v>
      </c>
      <c r="R127" s="378" t="str">
        <f t="shared" si="73"/>
        <v/>
      </c>
      <c r="S127" s="378" t="str">
        <f t="shared" si="74"/>
        <v/>
      </c>
      <c r="T127" s="379">
        <f>ROUND(IF(K127="",0,+Q127/1659*(AB127*12*(1+tab!$G$79+tab!$G$80)-tab!$G$78)*tab!$G$76),-1)</f>
        <v>0</v>
      </c>
      <c r="U127" s="1111" t="str">
        <f t="shared" si="75"/>
        <v/>
      </c>
      <c r="V127" s="362"/>
      <c r="W127" s="1631"/>
      <c r="AB127" s="1105" t="str">
        <f t="shared" si="70"/>
        <v/>
      </c>
      <c r="AC127" s="1144">
        <f t="shared" si="76"/>
        <v>0.54</v>
      </c>
      <c r="AD127" s="1104" t="e">
        <f t="shared" si="77"/>
        <v>#VALUE!</v>
      </c>
      <c r="AE127" s="1104" t="e">
        <f t="shared" si="78"/>
        <v>#VALUE!</v>
      </c>
      <c r="AF127" s="1104" t="e">
        <f t="shared" si="79"/>
        <v>#VALUE!</v>
      </c>
      <c r="AG127" s="14">
        <f t="shared" si="80"/>
        <v>0</v>
      </c>
      <c r="AH127" s="1106" t="str">
        <f t="shared" si="81"/>
        <v/>
      </c>
      <c r="AI127" s="14">
        <f t="shared" si="82"/>
        <v>0</v>
      </c>
      <c r="AJ127" s="1107">
        <f t="shared" si="83"/>
        <v>0.5</v>
      </c>
      <c r="AK127" s="6">
        <f t="shared" si="84"/>
        <v>0</v>
      </c>
      <c r="AL127" s="1108">
        <f t="shared" si="85"/>
        <v>0</v>
      </c>
    </row>
    <row r="128" spans="2:38" ht="12.75" customHeight="1" x14ac:dyDescent="0.2">
      <c r="B128" s="1628"/>
      <c r="C128" s="34"/>
      <c r="D128" s="798" t="str">
        <f t="shared" si="65"/>
        <v/>
      </c>
      <c r="E128" s="798" t="str">
        <f t="shared" si="65"/>
        <v/>
      </c>
      <c r="F128" s="798" t="str">
        <f t="shared" si="65"/>
        <v/>
      </c>
      <c r="G128" s="799" t="str">
        <f t="shared" si="66"/>
        <v/>
      </c>
      <c r="H128" s="800" t="str">
        <f t="shared" si="67"/>
        <v/>
      </c>
      <c r="I128" s="801" t="str">
        <f t="shared" si="67"/>
        <v/>
      </c>
      <c r="J128" s="799" t="str">
        <f t="shared" si="68"/>
        <v/>
      </c>
      <c r="K128" s="802" t="str">
        <f t="shared" si="69"/>
        <v/>
      </c>
      <c r="L128" s="1086"/>
      <c r="M128" s="789">
        <v>0</v>
      </c>
      <c r="N128" s="1215">
        <v>0</v>
      </c>
      <c r="O128" s="1216" t="str">
        <f t="shared" si="71"/>
        <v/>
      </c>
      <c r="P128" s="1096">
        <f t="shared" si="72"/>
        <v>0</v>
      </c>
      <c r="Q128" s="1095">
        <v>0</v>
      </c>
      <c r="R128" s="378" t="str">
        <f t="shared" si="73"/>
        <v/>
      </c>
      <c r="S128" s="378" t="str">
        <f t="shared" si="74"/>
        <v/>
      </c>
      <c r="T128" s="379">
        <f>ROUND(IF(K128="",0,+Q128/1659*(AB128*12*(1+tab!$G$79+tab!$G$80)-tab!$G$78)*tab!$G$76),-1)</f>
        <v>0</v>
      </c>
      <c r="U128" s="1111" t="str">
        <f t="shared" si="75"/>
        <v/>
      </c>
      <c r="V128" s="362"/>
      <c r="W128" s="1631"/>
      <c r="AB128" s="1105" t="str">
        <f t="shared" si="70"/>
        <v/>
      </c>
      <c r="AC128" s="1144">
        <f t="shared" si="76"/>
        <v>0.54</v>
      </c>
      <c r="AD128" s="1104" t="e">
        <f t="shared" si="77"/>
        <v>#VALUE!</v>
      </c>
      <c r="AE128" s="1104" t="e">
        <f t="shared" si="78"/>
        <v>#VALUE!</v>
      </c>
      <c r="AF128" s="1104" t="e">
        <f t="shared" si="79"/>
        <v>#VALUE!</v>
      </c>
      <c r="AG128" s="14">
        <f t="shared" si="80"/>
        <v>0</v>
      </c>
      <c r="AH128" s="1106" t="str">
        <f t="shared" si="81"/>
        <v/>
      </c>
      <c r="AI128" s="14">
        <f t="shared" si="82"/>
        <v>0</v>
      </c>
      <c r="AJ128" s="1107">
        <f t="shared" si="83"/>
        <v>0.5</v>
      </c>
      <c r="AK128" s="6">
        <f t="shared" si="84"/>
        <v>0</v>
      </c>
      <c r="AL128" s="1108">
        <f t="shared" si="85"/>
        <v>0</v>
      </c>
    </row>
    <row r="129" spans="2:46" ht="12.75" customHeight="1" x14ac:dyDescent="0.2">
      <c r="B129" s="1628"/>
      <c r="C129" s="34"/>
      <c r="D129" s="798" t="str">
        <f t="shared" si="65"/>
        <v/>
      </c>
      <c r="E129" s="798" t="str">
        <f t="shared" si="65"/>
        <v/>
      </c>
      <c r="F129" s="798" t="str">
        <f t="shared" si="65"/>
        <v/>
      </c>
      <c r="G129" s="799" t="str">
        <f t="shared" si="66"/>
        <v/>
      </c>
      <c r="H129" s="800" t="str">
        <f t="shared" si="67"/>
        <v/>
      </c>
      <c r="I129" s="801" t="str">
        <f t="shared" si="67"/>
        <v/>
      </c>
      <c r="J129" s="799" t="str">
        <f t="shared" si="68"/>
        <v/>
      </c>
      <c r="K129" s="802" t="str">
        <f t="shared" si="69"/>
        <v/>
      </c>
      <c r="L129" s="1086"/>
      <c r="M129" s="789">
        <v>0</v>
      </c>
      <c r="N129" s="1215">
        <v>0</v>
      </c>
      <c r="O129" s="1216" t="str">
        <f t="shared" si="71"/>
        <v/>
      </c>
      <c r="P129" s="1096">
        <f t="shared" si="72"/>
        <v>0</v>
      </c>
      <c r="Q129" s="1095">
        <v>0</v>
      </c>
      <c r="R129" s="378" t="str">
        <f t="shared" si="73"/>
        <v/>
      </c>
      <c r="S129" s="378" t="str">
        <f t="shared" si="74"/>
        <v/>
      </c>
      <c r="T129" s="379">
        <f>ROUND(IF(K129="",0,+Q129/1659*(AB129*12*(1+tab!$G$79+tab!$G$80)-tab!$G$78)*tab!$G$76),-1)</f>
        <v>0</v>
      </c>
      <c r="U129" s="1111" t="str">
        <f t="shared" si="75"/>
        <v/>
      </c>
      <c r="V129" s="362"/>
      <c r="W129" s="1631"/>
      <c r="AB129" s="1105" t="str">
        <f t="shared" si="70"/>
        <v/>
      </c>
      <c r="AC129" s="1144">
        <f t="shared" si="76"/>
        <v>0.54</v>
      </c>
      <c r="AD129" s="1104" t="e">
        <f t="shared" si="77"/>
        <v>#VALUE!</v>
      </c>
      <c r="AE129" s="1104" t="e">
        <f t="shared" si="78"/>
        <v>#VALUE!</v>
      </c>
      <c r="AF129" s="1104" t="e">
        <f t="shared" si="79"/>
        <v>#VALUE!</v>
      </c>
      <c r="AG129" s="14">
        <f t="shared" si="80"/>
        <v>0</v>
      </c>
      <c r="AH129" s="1106" t="str">
        <f t="shared" si="81"/>
        <v/>
      </c>
      <c r="AI129" s="14">
        <f t="shared" si="82"/>
        <v>0</v>
      </c>
      <c r="AJ129" s="1107">
        <f t="shared" si="83"/>
        <v>0.5</v>
      </c>
      <c r="AK129" s="6">
        <f t="shared" si="84"/>
        <v>0</v>
      </c>
      <c r="AL129" s="1108">
        <f t="shared" si="85"/>
        <v>0</v>
      </c>
    </row>
    <row r="130" spans="2:46" ht="12.75" customHeight="1" x14ac:dyDescent="0.2">
      <c r="B130" s="1628"/>
      <c r="C130" s="34"/>
      <c r="D130" s="798" t="str">
        <f t="shared" si="65"/>
        <v/>
      </c>
      <c r="E130" s="798" t="str">
        <f t="shared" si="65"/>
        <v/>
      </c>
      <c r="F130" s="798" t="str">
        <f t="shared" si="65"/>
        <v/>
      </c>
      <c r="G130" s="799" t="str">
        <f t="shared" si="66"/>
        <v/>
      </c>
      <c r="H130" s="800" t="str">
        <f t="shared" si="67"/>
        <v/>
      </c>
      <c r="I130" s="801" t="str">
        <f t="shared" si="67"/>
        <v/>
      </c>
      <c r="J130" s="799" t="str">
        <f t="shared" si="68"/>
        <v/>
      </c>
      <c r="K130" s="802" t="str">
        <f t="shared" si="69"/>
        <v/>
      </c>
      <c r="L130" s="1086"/>
      <c r="M130" s="789">
        <v>0</v>
      </c>
      <c r="N130" s="1215">
        <v>0</v>
      </c>
      <c r="O130" s="1216" t="str">
        <f t="shared" si="71"/>
        <v/>
      </c>
      <c r="P130" s="1096">
        <f t="shared" si="72"/>
        <v>0</v>
      </c>
      <c r="Q130" s="1095">
        <v>0</v>
      </c>
      <c r="R130" s="378" t="str">
        <f t="shared" si="73"/>
        <v/>
      </c>
      <c r="S130" s="378" t="str">
        <f t="shared" si="74"/>
        <v/>
      </c>
      <c r="T130" s="379">
        <f>ROUND(IF(K130="",0,+Q130/1659*(AB130*12*(1+tab!$G$79+tab!$G$80)-tab!$G$78)*tab!$G$76),-1)</f>
        <v>0</v>
      </c>
      <c r="U130" s="1111" t="str">
        <f t="shared" si="75"/>
        <v/>
      </c>
      <c r="V130" s="362"/>
      <c r="W130" s="1631"/>
      <c r="AB130" s="1105" t="str">
        <f t="shared" si="70"/>
        <v/>
      </c>
      <c r="AC130" s="1144">
        <f t="shared" si="76"/>
        <v>0.54</v>
      </c>
      <c r="AD130" s="1104" t="e">
        <f t="shared" si="77"/>
        <v>#VALUE!</v>
      </c>
      <c r="AE130" s="1104" t="e">
        <f t="shared" si="78"/>
        <v>#VALUE!</v>
      </c>
      <c r="AF130" s="1104" t="e">
        <f t="shared" si="79"/>
        <v>#VALUE!</v>
      </c>
      <c r="AG130" s="14">
        <f t="shared" si="80"/>
        <v>0</v>
      </c>
      <c r="AH130" s="1106" t="str">
        <f t="shared" si="81"/>
        <v/>
      </c>
      <c r="AI130" s="14">
        <f t="shared" si="82"/>
        <v>0</v>
      </c>
      <c r="AJ130" s="1107">
        <f t="shared" si="83"/>
        <v>0.5</v>
      </c>
      <c r="AK130" s="6">
        <f t="shared" si="84"/>
        <v>0</v>
      </c>
      <c r="AL130" s="1108">
        <f t="shared" si="85"/>
        <v>0</v>
      </c>
    </row>
    <row r="131" spans="2:46" x14ac:dyDescent="0.2">
      <c r="B131" s="1628"/>
      <c r="C131" s="34"/>
      <c r="D131" s="363"/>
      <c r="E131" s="363"/>
      <c r="F131" s="363"/>
      <c r="G131" s="188"/>
      <c r="H131" s="364"/>
      <c r="I131" s="188"/>
      <c r="J131" s="365"/>
      <c r="K131" s="380">
        <f>SUM(K111:K130)</f>
        <v>1</v>
      </c>
      <c r="L131" s="1079"/>
      <c r="M131" s="1094">
        <f t="shared" ref="M131:U131" si="86">SUM(M111:M130)</f>
        <v>0</v>
      </c>
      <c r="N131" s="1094">
        <f t="shared" si="86"/>
        <v>0</v>
      </c>
      <c r="O131" s="1094">
        <f t="shared" si="86"/>
        <v>50</v>
      </c>
      <c r="P131" s="1094">
        <f t="shared" si="86"/>
        <v>50</v>
      </c>
      <c r="Q131" s="1094">
        <f t="shared" si="86"/>
        <v>0</v>
      </c>
      <c r="R131" s="1109">
        <f t="shared" si="86"/>
        <v>83234.58835443038</v>
      </c>
      <c r="S131" s="1109">
        <f t="shared" si="86"/>
        <v>2586.5316455696202</v>
      </c>
      <c r="T131" s="1109">
        <f t="shared" si="86"/>
        <v>0</v>
      </c>
      <c r="U131" s="1110">
        <f t="shared" si="86"/>
        <v>85821.119999999995</v>
      </c>
      <c r="V131" s="348"/>
      <c r="W131" s="1631"/>
      <c r="AB131" s="1105">
        <f>SUM(AB111:AB130)</f>
        <v>4644</v>
      </c>
      <c r="AL131" s="1108">
        <f>SUM(AL111:AL130)</f>
        <v>2507.7600000000002</v>
      </c>
    </row>
    <row r="132" spans="2:46" x14ac:dyDescent="0.2">
      <c r="B132" s="1628"/>
      <c r="C132" s="34"/>
      <c r="D132" s="183"/>
      <c r="E132" s="183"/>
      <c r="F132" s="183"/>
      <c r="G132" s="182"/>
      <c r="H132" s="189"/>
      <c r="I132" s="182"/>
      <c r="J132" s="348"/>
      <c r="K132" s="349"/>
      <c r="L132" s="1083"/>
      <c r="M132" s="349"/>
      <c r="N132" s="348"/>
      <c r="O132" s="348"/>
      <c r="P132" s="366"/>
      <c r="Q132" s="366"/>
      <c r="R132" s="366"/>
      <c r="S132" s="366"/>
      <c r="T132" s="352"/>
      <c r="U132" s="367"/>
      <c r="V132" s="348"/>
      <c r="W132" s="1631"/>
    </row>
    <row r="133" spans="2:46" s="7" customFormat="1" ht="12.75" customHeight="1" x14ac:dyDescent="0.2">
      <c r="B133" s="1632"/>
      <c r="C133" s="1633"/>
      <c r="D133" s="1634"/>
      <c r="E133" s="1634"/>
      <c r="F133" s="1634"/>
      <c r="G133" s="1635"/>
      <c r="H133" s="1636"/>
      <c r="I133" s="1635"/>
      <c r="J133" s="1637"/>
      <c r="K133" s="1638"/>
      <c r="L133" s="1637"/>
      <c r="M133" s="1639"/>
      <c r="N133" s="1633"/>
      <c r="O133" s="1640"/>
      <c r="P133" s="1641"/>
      <c r="Q133" s="1641"/>
      <c r="R133" s="1641"/>
      <c r="S133" s="1641"/>
      <c r="T133" s="1642"/>
      <c r="U133" s="1643"/>
      <c r="V133" s="1633"/>
      <c r="W133" s="1644"/>
      <c r="AC133" s="273"/>
      <c r="AD133" s="281"/>
      <c r="AL133" s="273"/>
      <c r="AM133" s="281"/>
      <c r="AT133" s="6"/>
    </row>
    <row r="134" spans="2:46" ht="12.75" customHeight="1" x14ac:dyDescent="0.2">
      <c r="I134" s="165"/>
      <c r="K134" s="268"/>
      <c r="M134" s="222"/>
      <c r="O134" s="269"/>
      <c r="P134" s="265"/>
      <c r="Q134" s="265"/>
      <c r="R134" s="265"/>
      <c r="S134" s="265"/>
      <c r="T134" s="270"/>
      <c r="U134" s="271"/>
      <c r="W134" s="852"/>
      <c r="AT134" s="7"/>
    </row>
    <row r="135" spans="2:46" ht="12.75" customHeight="1" x14ac:dyDescent="0.2">
      <c r="C135" s="6" t="s">
        <v>119</v>
      </c>
      <c r="E135" s="252" t="str">
        <f>tab!I2</f>
        <v>2022/23</v>
      </c>
      <c r="I135" s="165"/>
      <c r="K135" s="268"/>
      <c r="M135" s="222"/>
      <c r="O135" s="269"/>
      <c r="P135" s="265"/>
      <c r="Q135" s="265"/>
      <c r="R135" s="265"/>
      <c r="S135" s="265"/>
      <c r="T135" s="270"/>
      <c r="U135" s="271"/>
      <c r="W135" s="852"/>
    </row>
    <row r="136" spans="2:46" s="7" customFormat="1" ht="12.75" customHeight="1" x14ac:dyDescent="0.2">
      <c r="C136" s="6" t="s">
        <v>120</v>
      </c>
      <c r="D136" s="272"/>
      <c r="E136" s="252">
        <f>tab!J3</f>
        <v>44835</v>
      </c>
      <c r="F136" s="272"/>
      <c r="G136" s="273"/>
      <c r="H136" s="274"/>
      <c r="I136" s="273"/>
      <c r="J136" s="275"/>
      <c r="K136" s="276"/>
      <c r="L136" s="1088"/>
      <c r="M136" s="277"/>
      <c r="O136" s="278"/>
      <c r="P136" s="279"/>
      <c r="Q136" s="279"/>
      <c r="R136" s="279"/>
      <c r="S136" s="279"/>
      <c r="T136" s="270"/>
      <c r="U136" s="280"/>
      <c r="W136" s="1147"/>
      <c r="AC136" s="273"/>
      <c r="AD136" s="281"/>
      <c r="AL136" s="273"/>
      <c r="AM136" s="281"/>
      <c r="AT136" s="6"/>
    </row>
    <row r="137" spans="2:46" ht="12.75" customHeight="1" x14ac:dyDescent="0.2">
      <c r="I137" s="165"/>
      <c r="K137" s="268"/>
      <c r="M137" s="222"/>
      <c r="O137" s="269"/>
      <c r="P137" s="265"/>
      <c r="Q137" s="265"/>
      <c r="R137" s="265"/>
      <c r="S137" s="265"/>
      <c r="T137" s="270"/>
      <c r="U137" s="271"/>
      <c r="W137" s="852"/>
      <c r="AT137" s="7"/>
    </row>
    <row r="138" spans="2:46" ht="12.75" customHeight="1" x14ac:dyDescent="0.2">
      <c r="C138" s="34"/>
      <c r="D138" s="183"/>
      <c r="E138" s="92"/>
      <c r="F138" s="183"/>
      <c r="G138" s="182"/>
      <c r="H138" s="189"/>
      <c r="I138" s="348"/>
      <c r="J138" s="348"/>
      <c r="K138" s="349"/>
      <c r="L138" s="1083"/>
      <c r="M138" s="350"/>
      <c r="N138" s="34"/>
      <c r="O138" s="351"/>
      <c r="P138" s="34"/>
      <c r="Q138" s="34"/>
      <c r="R138" s="34"/>
      <c r="S138" s="34"/>
      <c r="T138" s="352"/>
      <c r="U138" s="353"/>
      <c r="V138" s="34"/>
      <c r="W138" s="852"/>
      <c r="X138" s="852"/>
      <c r="AC138" s="1097"/>
      <c r="AD138" s="1098"/>
      <c r="AE138" s="1097"/>
      <c r="AF138" s="1097"/>
      <c r="AG138" s="1097"/>
      <c r="AH138" s="1099"/>
      <c r="AI138" s="1100"/>
      <c r="AJ138" s="1101"/>
      <c r="AK138" s="1102"/>
      <c r="AL138" s="1103"/>
      <c r="AM138" s="255"/>
    </row>
    <row r="139" spans="2:46" s="385" customFormat="1" ht="12.75" customHeight="1" x14ac:dyDescent="0.2">
      <c r="C139" s="1076"/>
      <c r="D139" s="1072" t="s">
        <v>121</v>
      </c>
      <c r="E139" s="1073"/>
      <c r="F139" s="1073"/>
      <c r="G139" s="1073"/>
      <c r="H139" s="1073"/>
      <c r="I139" s="1073"/>
      <c r="J139" s="1073"/>
      <c r="K139" s="1073"/>
      <c r="L139" s="1081"/>
      <c r="M139" s="1112" t="s">
        <v>649</v>
      </c>
      <c r="N139" s="1113"/>
      <c r="O139" s="1114"/>
      <c r="P139" s="1114"/>
      <c r="Q139" s="1113"/>
      <c r="R139" s="1115" t="s">
        <v>650</v>
      </c>
      <c r="S139" s="1116"/>
      <c r="T139" s="1116"/>
      <c r="U139" s="1116"/>
      <c r="V139" s="1117"/>
      <c r="W139" s="1145"/>
      <c r="X139" s="1119"/>
      <c r="Y139" s="1120"/>
      <c r="Z139" s="1121"/>
      <c r="AA139" s="1121"/>
      <c r="AB139" s="1122"/>
      <c r="AC139" s="1123"/>
      <c r="AD139" s="1124"/>
      <c r="AE139" s="1123"/>
      <c r="AF139" s="1125"/>
      <c r="AG139" s="1125"/>
      <c r="AH139" s="1126"/>
      <c r="AI139" s="1127"/>
      <c r="AJ139" s="1126"/>
      <c r="AK139" s="1128"/>
      <c r="AL139" s="1128"/>
      <c r="AN139" s="264"/>
      <c r="AO139" s="264"/>
    </row>
    <row r="140" spans="2:46" ht="12.75" customHeight="1" x14ac:dyDescent="0.2">
      <c r="C140" s="354"/>
      <c r="D140" s="369" t="s">
        <v>122</v>
      </c>
      <c r="E140" s="369" t="s">
        <v>123</v>
      </c>
      <c r="F140" s="369" t="s">
        <v>124</v>
      </c>
      <c r="G140" s="370" t="s">
        <v>125</v>
      </c>
      <c r="H140" s="371" t="s">
        <v>126</v>
      </c>
      <c r="I140" s="370" t="s">
        <v>91</v>
      </c>
      <c r="J140" s="370" t="s">
        <v>127</v>
      </c>
      <c r="K140" s="372" t="s">
        <v>128</v>
      </c>
      <c r="L140" s="1084"/>
      <c r="M140" s="1129" t="s">
        <v>651</v>
      </c>
      <c r="N140" s="1130" t="s">
        <v>652</v>
      </c>
      <c r="O140" s="1131" t="s">
        <v>653</v>
      </c>
      <c r="P140" s="1132" t="s">
        <v>654</v>
      </c>
      <c r="Q140" s="1130" t="s">
        <v>655</v>
      </c>
      <c r="R140" s="1131" t="s">
        <v>129</v>
      </c>
      <c r="S140" s="1129" t="s">
        <v>656</v>
      </c>
      <c r="T140" s="1129" t="s">
        <v>657</v>
      </c>
      <c r="U140" s="1129" t="s">
        <v>129</v>
      </c>
      <c r="V140" s="1133"/>
      <c r="W140" s="1146"/>
      <c r="X140" s="1135"/>
      <c r="Y140" s="1136"/>
      <c r="Z140" s="1137"/>
      <c r="AA140" s="1137"/>
      <c r="AB140" s="1141" t="s">
        <v>253</v>
      </c>
      <c r="AC140" s="1142" t="s">
        <v>658</v>
      </c>
      <c r="AD140" s="1143" t="s">
        <v>659</v>
      </c>
      <c r="AE140" s="1143" t="s">
        <v>659</v>
      </c>
      <c r="AF140" s="1143" t="s">
        <v>660</v>
      </c>
      <c r="AG140" s="1143" t="s">
        <v>655</v>
      </c>
      <c r="AH140" s="1143" t="s">
        <v>661</v>
      </c>
      <c r="AI140" s="1143" t="s">
        <v>662</v>
      </c>
      <c r="AJ140" s="1143" t="s">
        <v>663</v>
      </c>
      <c r="AK140" s="1143" t="s">
        <v>131</v>
      </c>
      <c r="AL140" s="1006" t="s">
        <v>266</v>
      </c>
      <c r="AM140" s="6"/>
      <c r="AN140" s="264"/>
      <c r="AO140" s="263"/>
    </row>
    <row r="141" spans="2:46" ht="12.75" customHeight="1" x14ac:dyDescent="0.2">
      <c r="C141" s="354"/>
      <c r="D141" s="374"/>
      <c r="E141" s="369"/>
      <c r="F141" s="375"/>
      <c r="G141" s="370" t="s">
        <v>133</v>
      </c>
      <c r="H141" s="371" t="s">
        <v>134</v>
      </c>
      <c r="I141" s="370"/>
      <c r="J141" s="370"/>
      <c r="K141" s="372"/>
      <c r="L141" s="1084"/>
      <c r="M141" s="1138" t="s">
        <v>664</v>
      </c>
      <c r="N141" s="1130" t="s">
        <v>665</v>
      </c>
      <c r="O141" s="1131" t="s">
        <v>666</v>
      </c>
      <c r="P141" s="1132" t="s">
        <v>71</v>
      </c>
      <c r="Q141" s="1130" t="s">
        <v>667</v>
      </c>
      <c r="R141" s="1131" t="s">
        <v>668</v>
      </c>
      <c r="S141" s="1139" t="s">
        <v>669</v>
      </c>
      <c r="T141" s="1139" t="s">
        <v>670</v>
      </c>
      <c r="U141" s="1129" t="s">
        <v>71</v>
      </c>
      <c r="V141" s="1133"/>
      <c r="W141" s="1146"/>
      <c r="X141" s="1135"/>
      <c r="Y141" s="1140"/>
      <c r="Z141" s="1137"/>
      <c r="AA141" s="1137"/>
      <c r="AB141" s="1143" t="s">
        <v>671</v>
      </c>
      <c r="AC141" s="1144">
        <f>tab!$E$69</f>
        <v>0.54</v>
      </c>
      <c r="AD141" s="1143" t="s">
        <v>672</v>
      </c>
      <c r="AE141" s="1143" t="s">
        <v>673</v>
      </c>
      <c r="AF141" s="1143" t="s">
        <v>674</v>
      </c>
      <c r="AG141" s="1143" t="s">
        <v>667</v>
      </c>
      <c r="AH141" s="1143" t="s">
        <v>675</v>
      </c>
      <c r="AI141" s="1143" t="s">
        <v>675</v>
      </c>
      <c r="AJ141" s="1143" t="s">
        <v>676</v>
      </c>
      <c r="AK141" s="1143"/>
      <c r="AL141" s="1143" t="s">
        <v>130</v>
      </c>
      <c r="AM141" s="6"/>
      <c r="AO141" s="265"/>
    </row>
    <row r="142" spans="2:46" ht="12.75" customHeight="1" x14ac:dyDescent="0.2">
      <c r="C142" s="34"/>
      <c r="D142" s="183"/>
      <c r="E142" s="183"/>
      <c r="F142" s="183"/>
      <c r="G142" s="182"/>
      <c r="H142" s="189"/>
      <c r="I142" s="355"/>
      <c r="J142" s="355"/>
      <c r="K142" s="356"/>
      <c r="L142" s="1085"/>
      <c r="M142" s="356"/>
      <c r="N142" s="357"/>
      <c r="O142" s="358"/>
      <c r="P142" s="359"/>
      <c r="Q142" s="359"/>
      <c r="R142" s="359"/>
      <c r="S142" s="359"/>
      <c r="T142" s="360"/>
      <c r="U142" s="361"/>
      <c r="V142" s="357"/>
      <c r="W142" s="852"/>
      <c r="AC142" s="6"/>
      <c r="AD142" s="6"/>
      <c r="AL142" s="6"/>
      <c r="AM142" s="6"/>
      <c r="AO142" s="265"/>
    </row>
    <row r="143" spans="2:46" ht="12.75" customHeight="1" x14ac:dyDescent="0.2">
      <c r="C143" s="34"/>
      <c r="D143" s="798" t="str">
        <f t="shared" ref="D143:F154" si="87">IF(D111=0,"",D111)</f>
        <v/>
      </c>
      <c r="E143" s="798" t="str">
        <f t="shared" si="87"/>
        <v>piet</v>
      </c>
      <c r="F143" s="798" t="str">
        <f t="shared" si="87"/>
        <v>chef</v>
      </c>
      <c r="G143" s="799">
        <f t="shared" ref="G143:G162" si="88">IF(G111="","",G111+1)</f>
        <v>26</v>
      </c>
      <c r="H143" s="800">
        <f t="shared" ref="H143:I162" si="89">IF(H111=0,"",H111)</f>
        <v>25600</v>
      </c>
      <c r="I143" s="801" t="str">
        <f>IF(I111=0,"",I111)</f>
        <v>LD</v>
      </c>
      <c r="J143" s="799">
        <f t="shared" ref="J143:J162" si="90">IF(E143="","",IF(J111&lt;VLOOKUP(I143,salmrt2020,18,FALSE),J111+1,J111))</f>
        <v>10</v>
      </c>
      <c r="K143" s="802">
        <f t="shared" ref="K143:K154" si="91">IF(K111="","",K111)</f>
        <v>1</v>
      </c>
      <c r="L143" s="1086"/>
      <c r="M143" s="789">
        <v>0</v>
      </c>
      <c r="N143" s="1215">
        <v>0</v>
      </c>
      <c r="O143" s="1216">
        <f>IF(K143="","",K143*50)</f>
        <v>50</v>
      </c>
      <c r="P143" s="1096">
        <f>SUM(M143:O143)</f>
        <v>50</v>
      </c>
      <c r="Q143" s="1095">
        <v>0</v>
      </c>
      <c r="R143" s="378">
        <f>IF(K143="","",(1659*K143-P143)*AE143)</f>
        <v>89077.498734177221</v>
      </c>
      <c r="S143" s="378">
        <f>IF(K143="","",P143*AF143+AD143*(AH143+AI143*(1-AJ143)))</f>
        <v>2768.1012658227851</v>
      </c>
      <c r="T143" s="379">
        <f>ROUND(IF(K143="",0,+Q143/1659*(AB143*12*(1+tab!$G$79+tab!$G$80)-tab!$G$78)*tab!$G$76),-1)</f>
        <v>0</v>
      </c>
      <c r="U143" s="1111">
        <f>IF(K143="","",IF(E143=0,0,(R143+S143+T143)))</f>
        <v>91845.6</v>
      </c>
      <c r="V143" s="362"/>
      <c r="W143" s="852"/>
      <c r="AB143" s="1105">
        <f t="shared" ref="AB143:AB162" si="92">IF(I143="","",VLOOKUP(I143,salaug2020,J143+1,FALSE))</f>
        <v>4970</v>
      </c>
      <c r="AC143" s="1144">
        <f>AC$141</f>
        <v>0.54</v>
      </c>
      <c r="AD143" s="1104">
        <f>AB143*12/1659</f>
        <v>35.949367088607595</v>
      </c>
      <c r="AE143" s="1104">
        <f>AB143*12*(1+AC143)/1659</f>
        <v>55.3620253164557</v>
      </c>
      <c r="AF143" s="1104">
        <f>+AE143-AD143</f>
        <v>19.412658227848105</v>
      </c>
      <c r="AG143" s="14">
        <f>Q143</f>
        <v>0</v>
      </c>
      <c r="AH143" s="1106">
        <f>O143</f>
        <v>50</v>
      </c>
      <c r="AI143" s="14">
        <f>(M143+N143)</f>
        <v>0</v>
      </c>
      <c r="AJ143" s="1107">
        <f>IF(I143&gt;8,50%,40%)</f>
        <v>0.5</v>
      </c>
      <c r="AK143" s="6">
        <f>IF(G143&lt;25,0,IF(G143=25,25,IF(G143&lt;40,0,IF(G143=40,40,IF(G143&gt;=40,0)))))</f>
        <v>0</v>
      </c>
      <c r="AL143" s="1108">
        <f>IF(AK143=25,AB143*1.08*K143/2,IF(AK143=40,AB143*1.08*K143,0))</f>
        <v>0</v>
      </c>
    </row>
    <row r="144" spans="2:46" ht="12.75" customHeight="1" x14ac:dyDescent="0.2">
      <c r="C144" s="34"/>
      <c r="D144" s="798" t="str">
        <f t="shared" si="87"/>
        <v/>
      </c>
      <c r="E144" s="798" t="str">
        <f t="shared" si="87"/>
        <v/>
      </c>
      <c r="F144" s="798" t="str">
        <f t="shared" si="87"/>
        <v/>
      </c>
      <c r="G144" s="799" t="str">
        <f t="shared" si="88"/>
        <v/>
      </c>
      <c r="H144" s="800" t="str">
        <f t="shared" si="89"/>
        <v/>
      </c>
      <c r="I144" s="801" t="str">
        <f t="shared" si="89"/>
        <v/>
      </c>
      <c r="J144" s="799" t="str">
        <f t="shared" si="90"/>
        <v/>
      </c>
      <c r="K144" s="802" t="str">
        <f t="shared" si="91"/>
        <v/>
      </c>
      <c r="L144" s="1086"/>
      <c r="M144" s="789">
        <v>0</v>
      </c>
      <c r="N144" s="1215">
        <v>0</v>
      </c>
      <c r="O144" s="1216" t="str">
        <f t="shared" ref="O144:O162" si="93">IF(K144="","",K144*50)</f>
        <v/>
      </c>
      <c r="P144" s="1096">
        <f t="shared" ref="P144:P162" si="94">SUM(M144:O144)</f>
        <v>0</v>
      </c>
      <c r="Q144" s="1095">
        <v>0</v>
      </c>
      <c r="R144" s="378" t="str">
        <f t="shared" ref="R144:R162" si="95">IF(K144="","",(1659*K144-P144)*AE144)</f>
        <v/>
      </c>
      <c r="S144" s="378" t="str">
        <f t="shared" ref="S144:S162" si="96">IF(K144="","",P144*AF144+AD144*(AH144+AI144*(1-AJ144)))</f>
        <v/>
      </c>
      <c r="T144" s="379">
        <f>ROUND(IF(K144="",0,+Q144/1659*(AB144*12*(1+tab!$G$79+tab!$G$80)-tab!$G$78)*tab!$G$76),-1)</f>
        <v>0</v>
      </c>
      <c r="U144" s="1111" t="str">
        <f t="shared" ref="U144:U162" si="97">IF(K144="","",IF(E144=0,0,(R144+S144+T144)))</f>
        <v/>
      </c>
      <c r="V144" s="362"/>
      <c r="W144" s="852"/>
      <c r="AB144" s="1105" t="str">
        <f t="shared" si="92"/>
        <v/>
      </c>
      <c r="AC144" s="1144">
        <f t="shared" ref="AC144:AC162" si="98">AC$141</f>
        <v>0.54</v>
      </c>
      <c r="AD144" s="1104" t="e">
        <f t="shared" ref="AD144:AD162" si="99">AB144*12/1659</f>
        <v>#VALUE!</v>
      </c>
      <c r="AE144" s="1104" t="e">
        <f t="shared" ref="AE144:AE162" si="100">AB144*12*(1+AC144)/1659</f>
        <v>#VALUE!</v>
      </c>
      <c r="AF144" s="1104" t="e">
        <f t="shared" ref="AF144:AF162" si="101">+AE144-AD144</f>
        <v>#VALUE!</v>
      </c>
      <c r="AG144" s="14">
        <f t="shared" ref="AG144:AG162" si="102">Q144</f>
        <v>0</v>
      </c>
      <c r="AH144" s="1106" t="str">
        <f t="shared" ref="AH144:AH162" si="103">O144</f>
        <v/>
      </c>
      <c r="AI144" s="14">
        <f t="shared" ref="AI144:AI162" si="104">(M144+N144)</f>
        <v>0</v>
      </c>
      <c r="AJ144" s="1107">
        <f t="shared" ref="AJ144:AJ162" si="105">IF(I144&gt;8,50%,40%)</f>
        <v>0.5</v>
      </c>
      <c r="AK144" s="6">
        <f t="shared" ref="AK144:AK162" si="106">IF(G144&lt;25,0,IF(G144=25,25,IF(G144&lt;40,0,IF(G144=40,40,IF(G144&gt;=40,0)))))</f>
        <v>0</v>
      </c>
      <c r="AL144" s="1108">
        <f t="shared" ref="AL144:AL162" si="107">IF(AK144=25,AB144*1.08*K144/2,IF(AK144=40,AB144*1.08*K144,0))</f>
        <v>0</v>
      </c>
    </row>
    <row r="145" spans="3:38" ht="12.75" customHeight="1" x14ac:dyDescent="0.2">
      <c r="C145" s="34"/>
      <c r="D145" s="798" t="str">
        <f t="shared" si="87"/>
        <v/>
      </c>
      <c r="E145" s="803" t="str">
        <f t="shared" si="87"/>
        <v/>
      </c>
      <c r="F145" s="803" t="str">
        <f t="shared" si="87"/>
        <v/>
      </c>
      <c r="G145" s="801" t="str">
        <f t="shared" si="88"/>
        <v/>
      </c>
      <c r="H145" s="804" t="str">
        <f t="shared" si="89"/>
        <v/>
      </c>
      <c r="I145" s="801" t="str">
        <f t="shared" si="89"/>
        <v/>
      </c>
      <c r="J145" s="799" t="str">
        <f t="shared" si="90"/>
        <v/>
      </c>
      <c r="K145" s="805" t="str">
        <f t="shared" si="91"/>
        <v/>
      </c>
      <c r="L145" s="1087"/>
      <c r="M145" s="789">
        <v>0</v>
      </c>
      <c r="N145" s="1215">
        <v>0</v>
      </c>
      <c r="O145" s="1216" t="str">
        <f t="shared" si="93"/>
        <v/>
      </c>
      <c r="P145" s="1096">
        <f t="shared" si="94"/>
        <v>0</v>
      </c>
      <c r="Q145" s="1095">
        <v>0</v>
      </c>
      <c r="R145" s="378" t="str">
        <f t="shared" si="95"/>
        <v/>
      </c>
      <c r="S145" s="378" t="str">
        <f t="shared" si="96"/>
        <v/>
      </c>
      <c r="T145" s="379">
        <f>ROUND(IF(K145="",0,+Q145/1659*(AB145*12*(1+tab!$G$79+tab!$G$80)-tab!$G$78)*tab!$G$76),-1)</f>
        <v>0</v>
      </c>
      <c r="U145" s="1111" t="str">
        <f t="shared" si="97"/>
        <v/>
      </c>
      <c r="V145" s="362"/>
      <c r="W145" s="852"/>
      <c r="AB145" s="1105" t="str">
        <f t="shared" si="92"/>
        <v/>
      </c>
      <c r="AC145" s="1144">
        <f t="shared" si="98"/>
        <v>0.54</v>
      </c>
      <c r="AD145" s="1104" t="e">
        <f t="shared" si="99"/>
        <v>#VALUE!</v>
      </c>
      <c r="AE145" s="1104" t="e">
        <f t="shared" si="100"/>
        <v>#VALUE!</v>
      </c>
      <c r="AF145" s="1104" t="e">
        <f t="shared" si="101"/>
        <v>#VALUE!</v>
      </c>
      <c r="AG145" s="14">
        <f t="shared" si="102"/>
        <v>0</v>
      </c>
      <c r="AH145" s="1106" t="str">
        <f t="shared" si="103"/>
        <v/>
      </c>
      <c r="AI145" s="14">
        <f t="shared" si="104"/>
        <v>0</v>
      </c>
      <c r="AJ145" s="1107">
        <f t="shared" si="105"/>
        <v>0.5</v>
      </c>
      <c r="AK145" s="6">
        <f t="shared" si="106"/>
        <v>0</v>
      </c>
      <c r="AL145" s="1108">
        <f t="shared" si="107"/>
        <v>0</v>
      </c>
    </row>
    <row r="146" spans="3:38" ht="12.75" customHeight="1" x14ac:dyDescent="0.2">
      <c r="C146" s="34"/>
      <c r="D146" s="798" t="str">
        <f t="shared" si="87"/>
        <v/>
      </c>
      <c r="E146" s="798" t="str">
        <f t="shared" si="87"/>
        <v/>
      </c>
      <c r="F146" s="798" t="str">
        <f t="shared" si="87"/>
        <v/>
      </c>
      <c r="G146" s="799" t="str">
        <f t="shared" si="88"/>
        <v/>
      </c>
      <c r="H146" s="800" t="str">
        <f t="shared" si="89"/>
        <v/>
      </c>
      <c r="I146" s="801" t="str">
        <f t="shared" si="89"/>
        <v/>
      </c>
      <c r="J146" s="799" t="str">
        <f t="shared" si="90"/>
        <v/>
      </c>
      <c r="K146" s="802" t="str">
        <f t="shared" si="91"/>
        <v/>
      </c>
      <c r="L146" s="1086"/>
      <c r="M146" s="789">
        <v>0</v>
      </c>
      <c r="N146" s="1215">
        <v>0</v>
      </c>
      <c r="O146" s="1216" t="str">
        <f t="shared" si="93"/>
        <v/>
      </c>
      <c r="P146" s="1096">
        <f t="shared" si="94"/>
        <v>0</v>
      </c>
      <c r="Q146" s="1095">
        <v>0</v>
      </c>
      <c r="R146" s="378" t="str">
        <f t="shared" si="95"/>
        <v/>
      </c>
      <c r="S146" s="378" t="str">
        <f t="shared" si="96"/>
        <v/>
      </c>
      <c r="T146" s="379">
        <f>ROUND(IF(K146="",0,+Q146/1659*(AB146*12*(1+tab!$G$79+tab!$G$80)-tab!$G$78)*tab!$G$76),-1)</f>
        <v>0</v>
      </c>
      <c r="U146" s="1111" t="str">
        <f t="shared" si="97"/>
        <v/>
      </c>
      <c r="V146" s="362"/>
      <c r="W146" s="852"/>
      <c r="AB146" s="1105" t="str">
        <f t="shared" si="92"/>
        <v/>
      </c>
      <c r="AC146" s="1144">
        <f t="shared" si="98"/>
        <v>0.54</v>
      </c>
      <c r="AD146" s="1104" t="e">
        <f t="shared" si="99"/>
        <v>#VALUE!</v>
      </c>
      <c r="AE146" s="1104" t="e">
        <f t="shared" si="100"/>
        <v>#VALUE!</v>
      </c>
      <c r="AF146" s="1104" t="e">
        <f t="shared" si="101"/>
        <v>#VALUE!</v>
      </c>
      <c r="AG146" s="14">
        <f t="shared" si="102"/>
        <v>0</v>
      </c>
      <c r="AH146" s="1106" t="str">
        <f t="shared" si="103"/>
        <v/>
      </c>
      <c r="AI146" s="14">
        <f t="shared" si="104"/>
        <v>0</v>
      </c>
      <c r="AJ146" s="1107">
        <f t="shared" si="105"/>
        <v>0.5</v>
      </c>
      <c r="AK146" s="6">
        <f t="shared" si="106"/>
        <v>0</v>
      </c>
      <c r="AL146" s="1108">
        <f t="shared" si="107"/>
        <v>0</v>
      </c>
    </row>
    <row r="147" spans="3:38" ht="12.75" customHeight="1" x14ac:dyDescent="0.2">
      <c r="C147" s="34"/>
      <c r="D147" s="798" t="str">
        <f t="shared" si="87"/>
        <v/>
      </c>
      <c r="E147" s="798" t="str">
        <f t="shared" si="87"/>
        <v/>
      </c>
      <c r="F147" s="798" t="str">
        <f t="shared" si="87"/>
        <v/>
      </c>
      <c r="G147" s="799" t="str">
        <f t="shared" si="88"/>
        <v/>
      </c>
      <c r="H147" s="800" t="str">
        <f t="shared" si="89"/>
        <v/>
      </c>
      <c r="I147" s="801" t="str">
        <f t="shared" si="89"/>
        <v/>
      </c>
      <c r="J147" s="799" t="str">
        <f t="shared" si="90"/>
        <v/>
      </c>
      <c r="K147" s="802" t="str">
        <f t="shared" si="91"/>
        <v/>
      </c>
      <c r="L147" s="1086"/>
      <c r="M147" s="789">
        <v>0</v>
      </c>
      <c r="N147" s="1215">
        <v>0</v>
      </c>
      <c r="O147" s="1216" t="str">
        <f t="shared" si="93"/>
        <v/>
      </c>
      <c r="P147" s="1096">
        <f t="shared" si="94"/>
        <v>0</v>
      </c>
      <c r="Q147" s="1095">
        <v>0</v>
      </c>
      <c r="R147" s="378" t="str">
        <f t="shared" si="95"/>
        <v/>
      </c>
      <c r="S147" s="378" t="str">
        <f t="shared" si="96"/>
        <v/>
      </c>
      <c r="T147" s="379">
        <f>ROUND(IF(K147="",0,+Q147/1659*(AB147*12*(1+tab!$G$79+tab!$G$80)-tab!$G$78)*tab!$G$76),-1)</f>
        <v>0</v>
      </c>
      <c r="U147" s="1111" t="str">
        <f t="shared" si="97"/>
        <v/>
      </c>
      <c r="V147" s="362"/>
      <c r="W147" s="852"/>
      <c r="AB147" s="1105" t="str">
        <f t="shared" si="92"/>
        <v/>
      </c>
      <c r="AC147" s="1144">
        <f t="shared" si="98"/>
        <v>0.54</v>
      </c>
      <c r="AD147" s="1104" t="e">
        <f t="shared" si="99"/>
        <v>#VALUE!</v>
      </c>
      <c r="AE147" s="1104" t="e">
        <f t="shared" si="100"/>
        <v>#VALUE!</v>
      </c>
      <c r="AF147" s="1104" t="e">
        <f t="shared" si="101"/>
        <v>#VALUE!</v>
      </c>
      <c r="AG147" s="14">
        <f t="shared" si="102"/>
        <v>0</v>
      </c>
      <c r="AH147" s="1106" t="str">
        <f t="shared" si="103"/>
        <v/>
      </c>
      <c r="AI147" s="14">
        <f t="shared" si="104"/>
        <v>0</v>
      </c>
      <c r="AJ147" s="1107">
        <f t="shared" si="105"/>
        <v>0.5</v>
      </c>
      <c r="AK147" s="6">
        <f t="shared" si="106"/>
        <v>0</v>
      </c>
      <c r="AL147" s="1108">
        <f t="shared" si="107"/>
        <v>0</v>
      </c>
    </row>
    <row r="148" spans="3:38" ht="12.75" customHeight="1" x14ac:dyDescent="0.2">
      <c r="C148" s="34"/>
      <c r="D148" s="798" t="str">
        <f t="shared" si="87"/>
        <v/>
      </c>
      <c r="E148" s="798" t="str">
        <f t="shared" si="87"/>
        <v/>
      </c>
      <c r="F148" s="798" t="str">
        <f t="shared" si="87"/>
        <v/>
      </c>
      <c r="G148" s="799" t="str">
        <f t="shared" si="88"/>
        <v/>
      </c>
      <c r="H148" s="800" t="str">
        <f t="shared" si="89"/>
        <v/>
      </c>
      <c r="I148" s="801" t="str">
        <f t="shared" si="89"/>
        <v/>
      </c>
      <c r="J148" s="799" t="str">
        <f t="shared" si="90"/>
        <v/>
      </c>
      <c r="K148" s="802" t="str">
        <f t="shared" si="91"/>
        <v/>
      </c>
      <c r="L148" s="1086"/>
      <c r="M148" s="789">
        <v>0</v>
      </c>
      <c r="N148" s="1215">
        <v>0</v>
      </c>
      <c r="O148" s="1216" t="str">
        <f t="shared" si="93"/>
        <v/>
      </c>
      <c r="P148" s="1096">
        <f t="shared" si="94"/>
        <v>0</v>
      </c>
      <c r="Q148" s="1095">
        <v>0</v>
      </c>
      <c r="R148" s="378" t="str">
        <f t="shared" si="95"/>
        <v/>
      </c>
      <c r="S148" s="378" t="str">
        <f t="shared" si="96"/>
        <v/>
      </c>
      <c r="T148" s="379">
        <f>ROUND(IF(K148="",0,+Q148/1659*(AB148*12*(1+tab!$G$79+tab!$G$80)-tab!$G$78)*tab!$G$76),-1)</f>
        <v>0</v>
      </c>
      <c r="U148" s="1111" t="str">
        <f t="shared" si="97"/>
        <v/>
      </c>
      <c r="V148" s="362"/>
      <c r="W148" s="852"/>
      <c r="AB148" s="1105" t="str">
        <f t="shared" si="92"/>
        <v/>
      </c>
      <c r="AC148" s="1144">
        <f t="shared" si="98"/>
        <v>0.54</v>
      </c>
      <c r="AD148" s="1104" t="e">
        <f t="shared" si="99"/>
        <v>#VALUE!</v>
      </c>
      <c r="AE148" s="1104" t="e">
        <f t="shared" si="100"/>
        <v>#VALUE!</v>
      </c>
      <c r="AF148" s="1104" t="e">
        <f t="shared" si="101"/>
        <v>#VALUE!</v>
      </c>
      <c r="AG148" s="14">
        <f t="shared" si="102"/>
        <v>0</v>
      </c>
      <c r="AH148" s="1106" t="str">
        <f t="shared" si="103"/>
        <v/>
      </c>
      <c r="AI148" s="14">
        <f t="shared" si="104"/>
        <v>0</v>
      </c>
      <c r="AJ148" s="1107">
        <f t="shared" si="105"/>
        <v>0.5</v>
      </c>
      <c r="AK148" s="6">
        <f t="shared" si="106"/>
        <v>0</v>
      </c>
      <c r="AL148" s="1108">
        <f t="shared" si="107"/>
        <v>0</v>
      </c>
    </row>
    <row r="149" spans="3:38" ht="12.75" customHeight="1" x14ac:dyDescent="0.2">
      <c r="C149" s="34"/>
      <c r="D149" s="798" t="str">
        <f t="shared" si="87"/>
        <v/>
      </c>
      <c r="E149" s="798" t="str">
        <f t="shared" si="87"/>
        <v/>
      </c>
      <c r="F149" s="798" t="str">
        <f t="shared" si="87"/>
        <v/>
      </c>
      <c r="G149" s="799" t="str">
        <f t="shared" si="88"/>
        <v/>
      </c>
      <c r="H149" s="800" t="str">
        <f t="shared" si="89"/>
        <v/>
      </c>
      <c r="I149" s="801" t="str">
        <f t="shared" si="89"/>
        <v/>
      </c>
      <c r="J149" s="799" t="str">
        <f t="shared" si="90"/>
        <v/>
      </c>
      <c r="K149" s="802" t="str">
        <f t="shared" si="91"/>
        <v/>
      </c>
      <c r="L149" s="1086"/>
      <c r="M149" s="789">
        <v>0</v>
      </c>
      <c r="N149" s="1215">
        <v>0</v>
      </c>
      <c r="O149" s="1216" t="str">
        <f t="shared" si="93"/>
        <v/>
      </c>
      <c r="P149" s="1096">
        <f t="shared" si="94"/>
        <v>0</v>
      </c>
      <c r="Q149" s="1095">
        <v>0</v>
      </c>
      <c r="R149" s="378" t="str">
        <f t="shared" si="95"/>
        <v/>
      </c>
      <c r="S149" s="378" t="str">
        <f t="shared" si="96"/>
        <v/>
      </c>
      <c r="T149" s="379">
        <f>ROUND(IF(K149="",0,+Q149/1659*(AB149*12*(1+tab!$G$79+tab!$G$80)-tab!$G$78)*tab!$G$76),-1)</f>
        <v>0</v>
      </c>
      <c r="U149" s="1111" t="str">
        <f t="shared" si="97"/>
        <v/>
      </c>
      <c r="V149" s="362"/>
      <c r="W149" s="852"/>
      <c r="AB149" s="1105" t="str">
        <f t="shared" si="92"/>
        <v/>
      </c>
      <c r="AC149" s="1144">
        <f t="shared" si="98"/>
        <v>0.54</v>
      </c>
      <c r="AD149" s="1104" t="e">
        <f t="shared" si="99"/>
        <v>#VALUE!</v>
      </c>
      <c r="AE149" s="1104" t="e">
        <f t="shared" si="100"/>
        <v>#VALUE!</v>
      </c>
      <c r="AF149" s="1104" t="e">
        <f t="shared" si="101"/>
        <v>#VALUE!</v>
      </c>
      <c r="AG149" s="14">
        <f t="shared" si="102"/>
        <v>0</v>
      </c>
      <c r="AH149" s="1106" t="str">
        <f t="shared" si="103"/>
        <v/>
      </c>
      <c r="AI149" s="14">
        <f t="shared" si="104"/>
        <v>0</v>
      </c>
      <c r="AJ149" s="1107">
        <f t="shared" si="105"/>
        <v>0.5</v>
      </c>
      <c r="AK149" s="6">
        <f t="shared" si="106"/>
        <v>0</v>
      </c>
      <c r="AL149" s="1108">
        <f t="shared" si="107"/>
        <v>0</v>
      </c>
    </row>
    <row r="150" spans="3:38" ht="12.75" customHeight="1" x14ac:dyDescent="0.2">
      <c r="C150" s="34"/>
      <c r="D150" s="798" t="str">
        <f t="shared" si="87"/>
        <v/>
      </c>
      <c r="E150" s="798" t="str">
        <f t="shared" si="87"/>
        <v/>
      </c>
      <c r="F150" s="798" t="str">
        <f t="shared" si="87"/>
        <v/>
      </c>
      <c r="G150" s="799" t="str">
        <f t="shared" si="88"/>
        <v/>
      </c>
      <c r="H150" s="800" t="str">
        <f t="shared" si="89"/>
        <v/>
      </c>
      <c r="I150" s="801" t="str">
        <f t="shared" si="89"/>
        <v/>
      </c>
      <c r="J150" s="799" t="str">
        <f t="shared" si="90"/>
        <v/>
      </c>
      <c r="K150" s="802" t="str">
        <f t="shared" si="91"/>
        <v/>
      </c>
      <c r="L150" s="1086"/>
      <c r="M150" s="789">
        <v>0</v>
      </c>
      <c r="N150" s="1215">
        <v>0</v>
      </c>
      <c r="O150" s="1216" t="str">
        <f t="shared" si="93"/>
        <v/>
      </c>
      <c r="P150" s="1096">
        <f t="shared" si="94"/>
        <v>0</v>
      </c>
      <c r="Q150" s="1095">
        <v>0</v>
      </c>
      <c r="R150" s="378" t="str">
        <f t="shared" si="95"/>
        <v/>
      </c>
      <c r="S150" s="378" t="str">
        <f t="shared" si="96"/>
        <v/>
      </c>
      <c r="T150" s="379">
        <f>ROUND(IF(K150="",0,+Q150/1659*(AB150*12*(1+tab!$G$79+tab!$G$80)-tab!$G$78)*tab!$G$76),-1)</f>
        <v>0</v>
      </c>
      <c r="U150" s="1111" t="str">
        <f t="shared" si="97"/>
        <v/>
      </c>
      <c r="V150" s="362"/>
      <c r="W150" s="852"/>
      <c r="AB150" s="1105" t="str">
        <f t="shared" si="92"/>
        <v/>
      </c>
      <c r="AC150" s="1144">
        <f t="shared" si="98"/>
        <v>0.54</v>
      </c>
      <c r="AD150" s="1104" t="e">
        <f t="shared" si="99"/>
        <v>#VALUE!</v>
      </c>
      <c r="AE150" s="1104" t="e">
        <f t="shared" si="100"/>
        <v>#VALUE!</v>
      </c>
      <c r="AF150" s="1104" t="e">
        <f t="shared" si="101"/>
        <v>#VALUE!</v>
      </c>
      <c r="AG150" s="14">
        <f t="shared" si="102"/>
        <v>0</v>
      </c>
      <c r="AH150" s="1106" t="str">
        <f t="shared" si="103"/>
        <v/>
      </c>
      <c r="AI150" s="14">
        <f t="shared" si="104"/>
        <v>0</v>
      </c>
      <c r="AJ150" s="1107">
        <f t="shared" si="105"/>
        <v>0.5</v>
      </c>
      <c r="AK150" s="6">
        <f t="shared" si="106"/>
        <v>0</v>
      </c>
      <c r="AL150" s="1108">
        <f t="shared" si="107"/>
        <v>0</v>
      </c>
    </row>
    <row r="151" spans="3:38" ht="12.75" customHeight="1" x14ac:dyDescent="0.2">
      <c r="C151" s="34"/>
      <c r="D151" s="798" t="str">
        <f t="shared" si="87"/>
        <v/>
      </c>
      <c r="E151" s="798" t="str">
        <f t="shared" si="87"/>
        <v/>
      </c>
      <c r="F151" s="798" t="str">
        <f t="shared" si="87"/>
        <v/>
      </c>
      <c r="G151" s="799" t="str">
        <f t="shared" si="88"/>
        <v/>
      </c>
      <c r="H151" s="800" t="str">
        <f t="shared" si="89"/>
        <v/>
      </c>
      <c r="I151" s="801" t="str">
        <f t="shared" si="89"/>
        <v/>
      </c>
      <c r="J151" s="799" t="str">
        <f t="shared" si="90"/>
        <v/>
      </c>
      <c r="K151" s="802" t="str">
        <f t="shared" si="91"/>
        <v/>
      </c>
      <c r="L151" s="1086"/>
      <c r="M151" s="789">
        <v>0</v>
      </c>
      <c r="N151" s="1215">
        <v>0</v>
      </c>
      <c r="O151" s="1216" t="str">
        <f t="shared" si="93"/>
        <v/>
      </c>
      <c r="P151" s="1096">
        <f t="shared" si="94"/>
        <v>0</v>
      </c>
      <c r="Q151" s="1095">
        <v>0</v>
      </c>
      <c r="R151" s="378" t="str">
        <f t="shared" si="95"/>
        <v/>
      </c>
      <c r="S151" s="378" t="str">
        <f t="shared" si="96"/>
        <v/>
      </c>
      <c r="T151" s="379">
        <f>ROUND(IF(K151="",0,+Q151/1659*(AB151*12*(1+tab!$G$79+tab!$G$80)-tab!$G$78)*tab!$G$76),-1)</f>
        <v>0</v>
      </c>
      <c r="U151" s="1111" t="str">
        <f t="shared" si="97"/>
        <v/>
      </c>
      <c r="V151" s="362"/>
      <c r="W151" s="852"/>
      <c r="AB151" s="1105" t="str">
        <f t="shared" si="92"/>
        <v/>
      </c>
      <c r="AC151" s="1144">
        <f t="shared" si="98"/>
        <v>0.54</v>
      </c>
      <c r="AD151" s="1104" t="e">
        <f t="shared" si="99"/>
        <v>#VALUE!</v>
      </c>
      <c r="AE151" s="1104" t="e">
        <f t="shared" si="100"/>
        <v>#VALUE!</v>
      </c>
      <c r="AF151" s="1104" t="e">
        <f t="shared" si="101"/>
        <v>#VALUE!</v>
      </c>
      <c r="AG151" s="14">
        <f t="shared" si="102"/>
        <v>0</v>
      </c>
      <c r="AH151" s="1106" t="str">
        <f t="shared" si="103"/>
        <v/>
      </c>
      <c r="AI151" s="14">
        <f t="shared" si="104"/>
        <v>0</v>
      </c>
      <c r="AJ151" s="1107">
        <f t="shared" si="105"/>
        <v>0.5</v>
      </c>
      <c r="AK151" s="6">
        <f t="shared" si="106"/>
        <v>0</v>
      </c>
      <c r="AL151" s="1108">
        <f t="shared" si="107"/>
        <v>0</v>
      </c>
    </row>
    <row r="152" spans="3:38" ht="12.75" customHeight="1" x14ac:dyDescent="0.2">
      <c r="C152" s="34"/>
      <c r="D152" s="798" t="str">
        <f t="shared" si="87"/>
        <v/>
      </c>
      <c r="E152" s="798" t="str">
        <f t="shared" si="87"/>
        <v/>
      </c>
      <c r="F152" s="798" t="str">
        <f t="shared" si="87"/>
        <v/>
      </c>
      <c r="G152" s="799" t="str">
        <f t="shared" si="88"/>
        <v/>
      </c>
      <c r="H152" s="800" t="str">
        <f t="shared" si="89"/>
        <v/>
      </c>
      <c r="I152" s="801" t="str">
        <f t="shared" si="89"/>
        <v/>
      </c>
      <c r="J152" s="799" t="str">
        <f t="shared" si="90"/>
        <v/>
      </c>
      <c r="K152" s="802" t="str">
        <f t="shared" si="91"/>
        <v/>
      </c>
      <c r="L152" s="1086"/>
      <c r="M152" s="789">
        <v>0</v>
      </c>
      <c r="N152" s="1215">
        <v>0</v>
      </c>
      <c r="O152" s="1216" t="str">
        <f t="shared" si="93"/>
        <v/>
      </c>
      <c r="P152" s="1096">
        <f t="shared" si="94"/>
        <v>0</v>
      </c>
      <c r="Q152" s="1095">
        <v>0</v>
      </c>
      <c r="R152" s="378" t="str">
        <f t="shared" si="95"/>
        <v/>
      </c>
      <c r="S152" s="378" t="str">
        <f t="shared" si="96"/>
        <v/>
      </c>
      <c r="T152" s="379">
        <f>ROUND(IF(K152="",0,+Q152/1659*(AB152*12*(1+tab!$G$79+tab!$G$80)-tab!$G$78)*tab!$G$76),-1)</f>
        <v>0</v>
      </c>
      <c r="U152" s="1111" t="str">
        <f t="shared" si="97"/>
        <v/>
      </c>
      <c r="V152" s="362"/>
      <c r="W152" s="852"/>
      <c r="AB152" s="1105" t="str">
        <f t="shared" si="92"/>
        <v/>
      </c>
      <c r="AC152" s="1144">
        <f t="shared" si="98"/>
        <v>0.54</v>
      </c>
      <c r="AD152" s="1104" t="e">
        <f t="shared" si="99"/>
        <v>#VALUE!</v>
      </c>
      <c r="AE152" s="1104" t="e">
        <f t="shared" si="100"/>
        <v>#VALUE!</v>
      </c>
      <c r="AF152" s="1104" t="e">
        <f t="shared" si="101"/>
        <v>#VALUE!</v>
      </c>
      <c r="AG152" s="14">
        <f t="shared" si="102"/>
        <v>0</v>
      </c>
      <c r="AH152" s="1106" t="str">
        <f t="shared" si="103"/>
        <v/>
      </c>
      <c r="AI152" s="14">
        <f t="shared" si="104"/>
        <v>0</v>
      </c>
      <c r="AJ152" s="1107">
        <f t="shared" si="105"/>
        <v>0.5</v>
      </c>
      <c r="AK152" s="6">
        <f t="shared" si="106"/>
        <v>0</v>
      </c>
      <c r="AL152" s="1108">
        <f t="shared" si="107"/>
        <v>0</v>
      </c>
    </row>
    <row r="153" spans="3:38" ht="12.75" customHeight="1" x14ac:dyDescent="0.2">
      <c r="C153" s="34"/>
      <c r="D153" s="798" t="str">
        <f t="shared" si="87"/>
        <v/>
      </c>
      <c r="E153" s="798" t="str">
        <f t="shared" si="87"/>
        <v/>
      </c>
      <c r="F153" s="798" t="str">
        <f t="shared" si="87"/>
        <v/>
      </c>
      <c r="G153" s="799" t="str">
        <f t="shared" si="88"/>
        <v/>
      </c>
      <c r="H153" s="800" t="str">
        <f t="shared" si="89"/>
        <v/>
      </c>
      <c r="I153" s="801" t="str">
        <f t="shared" si="89"/>
        <v/>
      </c>
      <c r="J153" s="799" t="str">
        <f t="shared" si="90"/>
        <v/>
      </c>
      <c r="K153" s="802" t="str">
        <f t="shared" si="91"/>
        <v/>
      </c>
      <c r="L153" s="1086"/>
      <c r="M153" s="789">
        <v>0</v>
      </c>
      <c r="N153" s="1215">
        <v>0</v>
      </c>
      <c r="O153" s="1216" t="str">
        <f t="shared" si="93"/>
        <v/>
      </c>
      <c r="P153" s="1096">
        <f t="shared" si="94"/>
        <v>0</v>
      </c>
      <c r="Q153" s="1095">
        <v>0</v>
      </c>
      <c r="R153" s="378" t="str">
        <f t="shared" si="95"/>
        <v/>
      </c>
      <c r="S153" s="378" t="str">
        <f t="shared" si="96"/>
        <v/>
      </c>
      <c r="T153" s="379">
        <f>ROUND(IF(K153="",0,+Q153/1659*(AB153*12*(1+tab!$G$79+tab!$G$80)-tab!$G$78)*tab!$G$76),-1)</f>
        <v>0</v>
      </c>
      <c r="U153" s="1111" t="str">
        <f t="shared" si="97"/>
        <v/>
      </c>
      <c r="V153" s="362"/>
      <c r="W153" s="852"/>
      <c r="AB153" s="1105" t="str">
        <f t="shared" si="92"/>
        <v/>
      </c>
      <c r="AC153" s="1144">
        <f t="shared" si="98"/>
        <v>0.54</v>
      </c>
      <c r="AD153" s="1104" t="e">
        <f t="shared" si="99"/>
        <v>#VALUE!</v>
      </c>
      <c r="AE153" s="1104" t="e">
        <f t="shared" si="100"/>
        <v>#VALUE!</v>
      </c>
      <c r="AF153" s="1104" t="e">
        <f t="shared" si="101"/>
        <v>#VALUE!</v>
      </c>
      <c r="AG153" s="14">
        <f t="shared" si="102"/>
        <v>0</v>
      </c>
      <c r="AH153" s="1106" t="str">
        <f t="shared" si="103"/>
        <v/>
      </c>
      <c r="AI153" s="14">
        <f t="shared" si="104"/>
        <v>0</v>
      </c>
      <c r="AJ153" s="1107">
        <f t="shared" si="105"/>
        <v>0.5</v>
      </c>
      <c r="AK153" s="6">
        <f t="shared" si="106"/>
        <v>0</v>
      </c>
      <c r="AL153" s="1108">
        <f t="shared" si="107"/>
        <v>0</v>
      </c>
    </row>
    <row r="154" spans="3:38" ht="12.75" customHeight="1" x14ac:dyDescent="0.2">
      <c r="C154" s="34"/>
      <c r="D154" s="798" t="str">
        <f t="shared" si="87"/>
        <v/>
      </c>
      <c r="E154" s="798" t="str">
        <f t="shared" si="87"/>
        <v/>
      </c>
      <c r="F154" s="798" t="str">
        <f t="shared" si="87"/>
        <v/>
      </c>
      <c r="G154" s="799" t="str">
        <f t="shared" si="88"/>
        <v/>
      </c>
      <c r="H154" s="800" t="str">
        <f t="shared" si="89"/>
        <v/>
      </c>
      <c r="I154" s="801" t="str">
        <f t="shared" si="89"/>
        <v/>
      </c>
      <c r="J154" s="799" t="str">
        <f t="shared" si="90"/>
        <v/>
      </c>
      <c r="K154" s="802" t="str">
        <f t="shared" si="91"/>
        <v/>
      </c>
      <c r="L154" s="1086"/>
      <c r="M154" s="789">
        <v>0</v>
      </c>
      <c r="N154" s="1215">
        <v>0</v>
      </c>
      <c r="O154" s="1216" t="str">
        <f t="shared" si="93"/>
        <v/>
      </c>
      <c r="P154" s="1096">
        <f t="shared" si="94"/>
        <v>0</v>
      </c>
      <c r="Q154" s="1095">
        <v>0</v>
      </c>
      <c r="R154" s="378" t="str">
        <f t="shared" si="95"/>
        <v/>
      </c>
      <c r="S154" s="378" t="str">
        <f t="shared" si="96"/>
        <v/>
      </c>
      <c r="T154" s="379">
        <f>ROUND(IF(K154="",0,+Q154/1659*(AB154*12*(1+tab!$G$79+tab!$G$80)-tab!$G$78)*tab!$G$76),-1)</f>
        <v>0</v>
      </c>
      <c r="U154" s="1111" t="str">
        <f t="shared" si="97"/>
        <v/>
      </c>
      <c r="V154" s="362"/>
      <c r="W154" s="852"/>
      <c r="AB154" s="1105" t="str">
        <f t="shared" si="92"/>
        <v/>
      </c>
      <c r="AC154" s="1144">
        <f t="shared" si="98"/>
        <v>0.54</v>
      </c>
      <c r="AD154" s="1104" t="e">
        <f t="shared" si="99"/>
        <v>#VALUE!</v>
      </c>
      <c r="AE154" s="1104" t="e">
        <f t="shared" si="100"/>
        <v>#VALUE!</v>
      </c>
      <c r="AF154" s="1104" t="e">
        <f t="shared" si="101"/>
        <v>#VALUE!</v>
      </c>
      <c r="AG154" s="14">
        <f t="shared" si="102"/>
        <v>0</v>
      </c>
      <c r="AH154" s="1106" t="str">
        <f t="shared" si="103"/>
        <v/>
      </c>
      <c r="AI154" s="14">
        <f t="shared" si="104"/>
        <v>0</v>
      </c>
      <c r="AJ154" s="1107">
        <f t="shared" si="105"/>
        <v>0.5</v>
      </c>
      <c r="AK154" s="6">
        <f t="shared" si="106"/>
        <v>0</v>
      </c>
      <c r="AL154" s="1108">
        <f t="shared" si="107"/>
        <v>0</v>
      </c>
    </row>
    <row r="155" spans="3:38" ht="12.75" customHeight="1" x14ac:dyDescent="0.2">
      <c r="C155" s="34"/>
      <c r="D155" s="798" t="str">
        <f t="shared" ref="D155:F157" si="108">IF(D123=0,"",D123)</f>
        <v/>
      </c>
      <c r="E155" s="798" t="str">
        <f t="shared" si="108"/>
        <v/>
      </c>
      <c r="F155" s="798" t="str">
        <f t="shared" si="108"/>
        <v/>
      </c>
      <c r="G155" s="799" t="str">
        <f t="shared" si="88"/>
        <v/>
      </c>
      <c r="H155" s="800" t="str">
        <f t="shared" si="89"/>
        <v/>
      </c>
      <c r="I155" s="801" t="str">
        <f t="shared" si="89"/>
        <v/>
      </c>
      <c r="J155" s="799" t="str">
        <f t="shared" si="90"/>
        <v/>
      </c>
      <c r="K155" s="802" t="str">
        <f t="shared" ref="K155:K162" si="109">IF(K123="","",K123)</f>
        <v/>
      </c>
      <c r="L155" s="1086"/>
      <c r="M155" s="789">
        <v>0</v>
      </c>
      <c r="N155" s="1215">
        <v>0</v>
      </c>
      <c r="O155" s="1216" t="str">
        <f t="shared" si="93"/>
        <v/>
      </c>
      <c r="P155" s="1096">
        <f t="shared" si="94"/>
        <v>0</v>
      </c>
      <c r="Q155" s="1095">
        <v>0</v>
      </c>
      <c r="R155" s="378" t="str">
        <f t="shared" si="95"/>
        <v/>
      </c>
      <c r="S155" s="378" t="str">
        <f t="shared" si="96"/>
        <v/>
      </c>
      <c r="T155" s="379">
        <f>ROUND(IF(K155="",0,+Q155/1659*(AB155*12*(1+tab!$G$79+tab!$G$80)-tab!$G$78)*tab!$G$76),-1)</f>
        <v>0</v>
      </c>
      <c r="U155" s="1111" t="str">
        <f t="shared" si="97"/>
        <v/>
      </c>
      <c r="V155" s="362"/>
      <c r="W155" s="852"/>
      <c r="AB155" s="1105" t="str">
        <f t="shared" si="92"/>
        <v/>
      </c>
      <c r="AC155" s="1144">
        <f t="shared" si="98"/>
        <v>0.54</v>
      </c>
      <c r="AD155" s="1104" t="e">
        <f t="shared" si="99"/>
        <v>#VALUE!</v>
      </c>
      <c r="AE155" s="1104" t="e">
        <f t="shared" si="100"/>
        <v>#VALUE!</v>
      </c>
      <c r="AF155" s="1104" t="e">
        <f t="shared" si="101"/>
        <v>#VALUE!</v>
      </c>
      <c r="AG155" s="14">
        <f t="shared" si="102"/>
        <v>0</v>
      </c>
      <c r="AH155" s="1106" t="str">
        <f t="shared" si="103"/>
        <v/>
      </c>
      <c r="AI155" s="14">
        <f t="shared" si="104"/>
        <v>0</v>
      </c>
      <c r="AJ155" s="1107">
        <f t="shared" si="105"/>
        <v>0.5</v>
      </c>
      <c r="AK155" s="6">
        <f t="shared" si="106"/>
        <v>0</v>
      </c>
      <c r="AL155" s="1108">
        <f t="shared" si="107"/>
        <v>0</v>
      </c>
    </row>
    <row r="156" spans="3:38" ht="12.75" customHeight="1" x14ac:dyDescent="0.2">
      <c r="C156" s="34"/>
      <c r="D156" s="798" t="str">
        <f t="shared" si="108"/>
        <v/>
      </c>
      <c r="E156" s="798" t="str">
        <f t="shared" si="108"/>
        <v/>
      </c>
      <c r="F156" s="798" t="str">
        <f t="shared" si="108"/>
        <v/>
      </c>
      <c r="G156" s="799" t="str">
        <f t="shared" si="88"/>
        <v/>
      </c>
      <c r="H156" s="800" t="str">
        <f t="shared" si="89"/>
        <v/>
      </c>
      <c r="I156" s="801" t="str">
        <f t="shared" si="89"/>
        <v/>
      </c>
      <c r="J156" s="799" t="str">
        <f t="shared" si="90"/>
        <v/>
      </c>
      <c r="K156" s="802" t="str">
        <f t="shared" si="109"/>
        <v/>
      </c>
      <c r="L156" s="1086"/>
      <c r="M156" s="789">
        <v>0</v>
      </c>
      <c r="N156" s="1215">
        <v>0</v>
      </c>
      <c r="O156" s="1216" t="str">
        <f t="shared" si="93"/>
        <v/>
      </c>
      <c r="P156" s="1096">
        <f t="shared" si="94"/>
        <v>0</v>
      </c>
      <c r="Q156" s="1095">
        <v>0</v>
      </c>
      <c r="R156" s="378" t="str">
        <f t="shared" si="95"/>
        <v/>
      </c>
      <c r="S156" s="378" t="str">
        <f t="shared" si="96"/>
        <v/>
      </c>
      <c r="T156" s="379">
        <f>ROUND(IF(K156="",0,+Q156/1659*(AB156*12*(1+tab!$G$79+tab!$G$80)-tab!$G$78)*tab!$G$76),-1)</f>
        <v>0</v>
      </c>
      <c r="U156" s="1111" t="str">
        <f t="shared" si="97"/>
        <v/>
      </c>
      <c r="V156" s="362"/>
      <c r="W156" s="852"/>
      <c r="AB156" s="1105" t="str">
        <f t="shared" si="92"/>
        <v/>
      </c>
      <c r="AC156" s="1144">
        <f t="shared" si="98"/>
        <v>0.54</v>
      </c>
      <c r="AD156" s="1104" t="e">
        <f t="shared" si="99"/>
        <v>#VALUE!</v>
      </c>
      <c r="AE156" s="1104" t="e">
        <f t="shared" si="100"/>
        <v>#VALUE!</v>
      </c>
      <c r="AF156" s="1104" t="e">
        <f t="shared" si="101"/>
        <v>#VALUE!</v>
      </c>
      <c r="AG156" s="14">
        <f t="shared" si="102"/>
        <v>0</v>
      </c>
      <c r="AH156" s="1106" t="str">
        <f t="shared" si="103"/>
        <v/>
      </c>
      <c r="AI156" s="14">
        <f t="shared" si="104"/>
        <v>0</v>
      </c>
      <c r="AJ156" s="1107">
        <f t="shared" si="105"/>
        <v>0.5</v>
      </c>
      <c r="AK156" s="6">
        <f t="shared" si="106"/>
        <v>0</v>
      </c>
      <c r="AL156" s="1108">
        <f t="shared" si="107"/>
        <v>0</v>
      </c>
    </row>
    <row r="157" spans="3:38" ht="12.75" customHeight="1" x14ac:dyDescent="0.2">
      <c r="C157" s="34"/>
      <c r="D157" s="798" t="str">
        <f t="shared" si="108"/>
        <v/>
      </c>
      <c r="E157" s="798" t="str">
        <f t="shared" si="108"/>
        <v/>
      </c>
      <c r="F157" s="798" t="str">
        <f t="shared" si="108"/>
        <v/>
      </c>
      <c r="G157" s="799" t="str">
        <f t="shared" si="88"/>
        <v/>
      </c>
      <c r="H157" s="800" t="str">
        <f t="shared" si="89"/>
        <v/>
      </c>
      <c r="I157" s="801" t="str">
        <f t="shared" si="89"/>
        <v/>
      </c>
      <c r="J157" s="799" t="str">
        <f t="shared" si="90"/>
        <v/>
      </c>
      <c r="K157" s="802" t="str">
        <f t="shared" si="109"/>
        <v/>
      </c>
      <c r="L157" s="1086"/>
      <c r="M157" s="789">
        <v>0</v>
      </c>
      <c r="N157" s="1215">
        <v>0</v>
      </c>
      <c r="O157" s="1216" t="str">
        <f t="shared" si="93"/>
        <v/>
      </c>
      <c r="P157" s="1096">
        <f t="shared" si="94"/>
        <v>0</v>
      </c>
      <c r="Q157" s="1095">
        <v>0</v>
      </c>
      <c r="R157" s="378" t="str">
        <f t="shared" si="95"/>
        <v/>
      </c>
      <c r="S157" s="378" t="str">
        <f t="shared" si="96"/>
        <v/>
      </c>
      <c r="T157" s="379">
        <f>ROUND(IF(K157="",0,+Q157/1659*(AB157*12*(1+tab!$G$79+tab!$G$80)-tab!$G$78)*tab!$G$76),-1)</f>
        <v>0</v>
      </c>
      <c r="U157" s="1111" t="str">
        <f t="shared" si="97"/>
        <v/>
      </c>
      <c r="V157" s="362"/>
      <c r="W157" s="852"/>
      <c r="AB157" s="1105" t="str">
        <f t="shared" si="92"/>
        <v/>
      </c>
      <c r="AC157" s="1144">
        <f t="shared" si="98"/>
        <v>0.54</v>
      </c>
      <c r="AD157" s="1104" t="e">
        <f t="shared" si="99"/>
        <v>#VALUE!</v>
      </c>
      <c r="AE157" s="1104" t="e">
        <f t="shared" si="100"/>
        <v>#VALUE!</v>
      </c>
      <c r="AF157" s="1104" t="e">
        <f t="shared" si="101"/>
        <v>#VALUE!</v>
      </c>
      <c r="AG157" s="14">
        <f t="shared" si="102"/>
        <v>0</v>
      </c>
      <c r="AH157" s="1106" t="str">
        <f t="shared" si="103"/>
        <v/>
      </c>
      <c r="AI157" s="14">
        <f t="shared" si="104"/>
        <v>0</v>
      </c>
      <c r="AJ157" s="1107">
        <f t="shared" si="105"/>
        <v>0.5</v>
      </c>
      <c r="AK157" s="6">
        <f t="shared" si="106"/>
        <v>0</v>
      </c>
      <c r="AL157" s="1108">
        <f t="shared" si="107"/>
        <v>0</v>
      </c>
    </row>
    <row r="158" spans="3:38" ht="12.75" customHeight="1" x14ac:dyDescent="0.2">
      <c r="C158" s="34"/>
      <c r="D158" s="798" t="str">
        <f t="shared" ref="D158:F162" si="110">IF(D126=0,"",D126)</f>
        <v/>
      </c>
      <c r="E158" s="798" t="str">
        <f t="shared" si="110"/>
        <v/>
      </c>
      <c r="F158" s="798" t="str">
        <f t="shared" si="110"/>
        <v/>
      </c>
      <c r="G158" s="799" t="str">
        <f t="shared" si="88"/>
        <v/>
      </c>
      <c r="H158" s="800" t="str">
        <f t="shared" si="89"/>
        <v/>
      </c>
      <c r="I158" s="801" t="str">
        <f t="shared" si="89"/>
        <v/>
      </c>
      <c r="J158" s="799" t="str">
        <f t="shared" si="90"/>
        <v/>
      </c>
      <c r="K158" s="802" t="str">
        <f t="shared" si="109"/>
        <v/>
      </c>
      <c r="L158" s="1086"/>
      <c r="M158" s="789">
        <v>0</v>
      </c>
      <c r="N158" s="1215">
        <v>0</v>
      </c>
      <c r="O158" s="1216" t="str">
        <f t="shared" si="93"/>
        <v/>
      </c>
      <c r="P158" s="1096">
        <f t="shared" si="94"/>
        <v>0</v>
      </c>
      <c r="Q158" s="1095">
        <v>0</v>
      </c>
      <c r="R158" s="378" t="str">
        <f t="shared" si="95"/>
        <v/>
      </c>
      <c r="S158" s="378" t="str">
        <f t="shared" si="96"/>
        <v/>
      </c>
      <c r="T158" s="379">
        <f>ROUND(IF(K158="",0,+Q158/1659*(AB158*12*(1+tab!$G$79+tab!$G$80)-tab!$G$78)*tab!$G$76),-1)</f>
        <v>0</v>
      </c>
      <c r="U158" s="1111" t="str">
        <f t="shared" si="97"/>
        <v/>
      </c>
      <c r="V158" s="362"/>
      <c r="W158" s="852"/>
      <c r="AB158" s="1105" t="str">
        <f t="shared" si="92"/>
        <v/>
      </c>
      <c r="AC158" s="1144">
        <f t="shared" si="98"/>
        <v>0.54</v>
      </c>
      <c r="AD158" s="1104" t="e">
        <f t="shared" si="99"/>
        <v>#VALUE!</v>
      </c>
      <c r="AE158" s="1104" t="e">
        <f t="shared" si="100"/>
        <v>#VALUE!</v>
      </c>
      <c r="AF158" s="1104" t="e">
        <f t="shared" si="101"/>
        <v>#VALUE!</v>
      </c>
      <c r="AG158" s="14">
        <f t="shared" si="102"/>
        <v>0</v>
      </c>
      <c r="AH158" s="1106" t="str">
        <f t="shared" si="103"/>
        <v/>
      </c>
      <c r="AI158" s="14">
        <f t="shared" si="104"/>
        <v>0</v>
      </c>
      <c r="AJ158" s="1107">
        <f t="shared" si="105"/>
        <v>0.5</v>
      </c>
      <c r="AK158" s="6">
        <f t="shared" si="106"/>
        <v>0</v>
      </c>
      <c r="AL158" s="1108">
        <f t="shared" si="107"/>
        <v>0</v>
      </c>
    </row>
    <row r="159" spans="3:38" ht="12.75" customHeight="1" x14ac:dyDescent="0.2">
      <c r="C159" s="34"/>
      <c r="D159" s="798" t="str">
        <f t="shared" si="110"/>
        <v/>
      </c>
      <c r="E159" s="798" t="str">
        <f t="shared" si="110"/>
        <v/>
      </c>
      <c r="F159" s="798" t="str">
        <f t="shared" si="110"/>
        <v/>
      </c>
      <c r="G159" s="799" t="str">
        <f t="shared" si="88"/>
        <v/>
      </c>
      <c r="H159" s="800" t="str">
        <f t="shared" si="89"/>
        <v/>
      </c>
      <c r="I159" s="801" t="str">
        <f t="shared" si="89"/>
        <v/>
      </c>
      <c r="J159" s="799" t="str">
        <f t="shared" si="90"/>
        <v/>
      </c>
      <c r="K159" s="802" t="str">
        <f t="shared" si="109"/>
        <v/>
      </c>
      <c r="L159" s="1086"/>
      <c r="M159" s="789">
        <v>0</v>
      </c>
      <c r="N159" s="1215">
        <v>0</v>
      </c>
      <c r="O159" s="1216" t="str">
        <f t="shared" si="93"/>
        <v/>
      </c>
      <c r="P159" s="1096">
        <f t="shared" si="94"/>
        <v>0</v>
      </c>
      <c r="Q159" s="1095">
        <v>0</v>
      </c>
      <c r="R159" s="378" t="str">
        <f t="shared" si="95"/>
        <v/>
      </c>
      <c r="S159" s="378" t="str">
        <f t="shared" si="96"/>
        <v/>
      </c>
      <c r="T159" s="379">
        <f>ROUND(IF(K159="",0,+Q159/1659*(AB159*12*(1+tab!$G$79+tab!$G$80)-tab!$G$78)*tab!$G$76),-1)</f>
        <v>0</v>
      </c>
      <c r="U159" s="1111" t="str">
        <f t="shared" si="97"/>
        <v/>
      </c>
      <c r="V159" s="362"/>
      <c r="W159" s="852"/>
      <c r="AB159" s="1105" t="str">
        <f t="shared" si="92"/>
        <v/>
      </c>
      <c r="AC159" s="1144">
        <f t="shared" si="98"/>
        <v>0.54</v>
      </c>
      <c r="AD159" s="1104" t="e">
        <f t="shared" si="99"/>
        <v>#VALUE!</v>
      </c>
      <c r="AE159" s="1104" t="e">
        <f t="shared" si="100"/>
        <v>#VALUE!</v>
      </c>
      <c r="AF159" s="1104" t="e">
        <f t="shared" si="101"/>
        <v>#VALUE!</v>
      </c>
      <c r="AG159" s="14">
        <f t="shared" si="102"/>
        <v>0</v>
      </c>
      <c r="AH159" s="1106" t="str">
        <f t="shared" si="103"/>
        <v/>
      </c>
      <c r="AI159" s="14">
        <f t="shared" si="104"/>
        <v>0</v>
      </c>
      <c r="AJ159" s="1107">
        <f t="shared" si="105"/>
        <v>0.5</v>
      </c>
      <c r="AK159" s="6">
        <f t="shared" si="106"/>
        <v>0</v>
      </c>
      <c r="AL159" s="1108">
        <f t="shared" si="107"/>
        <v>0</v>
      </c>
    </row>
    <row r="160" spans="3:38" ht="12.75" customHeight="1" x14ac:dyDescent="0.2">
      <c r="C160" s="34"/>
      <c r="D160" s="798" t="str">
        <f t="shared" si="110"/>
        <v/>
      </c>
      <c r="E160" s="798" t="str">
        <f t="shared" si="110"/>
        <v/>
      </c>
      <c r="F160" s="798" t="str">
        <f t="shared" si="110"/>
        <v/>
      </c>
      <c r="G160" s="799" t="str">
        <f t="shared" si="88"/>
        <v/>
      </c>
      <c r="H160" s="800" t="str">
        <f t="shared" si="89"/>
        <v/>
      </c>
      <c r="I160" s="801" t="str">
        <f t="shared" si="89"/>
        <v/>
      </c>
      <c r="J160" s="799" t="str">
        <f t="shared" si="90"/>
        <v/>
      </c>
      <c r="K160" s="802" t="str">
        <f t="shared" si="109"/>
        <v/>
      </c>
      <c r="L160" s="1086"/>
      <c r="M160" s="789">
        <v>0</v>
      </c>
      <c r="N160" s="1215">
        <v>0</v>
      </c>
      <c r="O160" s="1216" t="str">
        <f t="shared" si="93"/>
        <v/>
      </c>
      <c r="P160" s="1096">
        <f t="shared" si="94"/>
        <v>0</v>
      </c>
      <c r="Q160" s="1095">
        <v>0</v>
      </c>
      <c r="R160" s="378" t="str">
        <f t="shared" si="95"/>
        <v/>
      </c>
      <c r="S160" s="378" t="str">
        <f t="shared" si="96"/>
        <v/>
      </c>
      <c r="T160" s="379">
        <f>ROUND(IF(K160="",0,+Q160/1659*(AB160*12*(1+tab!$G$79+tab!$G$80)-tab!$G$78)*tab!$G$76),-1)</f>
        <v>0</v>
      </c>
      <c r="U160" s="1111" t="str">
        <f t="shared" si="97"/>
        <v/>
      </c>
      <c r="V160" s="362"/>
      <c r="W160" s="852"/>
      <c r="AB160" s="1105" t="str">
        <f t="shared" si="92"/>
        <v/>
      </c>
      <c r="AC160" s="1144">
        <f t="shared" si="98"/>
        <v>0.54</v>
      </c>
      <c r="AD160" s="1104" t="e">
        <f t="shared" si="99"/>
        <v>#VALUE!</v>
      </c>
      <c r="AE160" s="1104" t="e">
        <f t="shared" si="100"/>
        <v>#VALUE!</v>
      </c>
      <c r="AF160" s="1104" t="e">
        <f t="shared" si="101"/>
        <v>#VALUE!</v>
      </c>
      <c r="AG160" s="14">
        <f t="shared" si="102"/>
        <v>0</v>
      </c>
      <c r="AH160" s="1106" t="str">
        <f t="shared" si="103"/>
        <v/>
      </c>
      <c r="AI160" s="14">
        <f t="shared" si="104"/>
        <v>0</v>
      </c>
      <c r="AJ160" s="1107">
        <f t="shared" si="105"/>
        <v>0.5</v>
      </c>
      <c r="AK160" s="6">
        <f t="shared" si="106"/>
        <v>0</v>
      </c>
      <c r="AL160" s="1108">
        <f t="shared" si="107"/>
        <v>0</v>
      </c>
    </row>
    <row r="161" spans="3:46" ht="12.75" customHeight="1" x14ac:dyDescent="0.2">
      <c r="C161" s="34"/>
      <c r="D161" s="798" t="str">
        <f t="shared" si="110"/>
        <v/>
      </c>
      <c r="E161" s="798" t="str">
        <f t="shared" si="110"/>
        <v/>
      </c>
      <c r="F161" s="798" t="str">
        <f t="shared" si="110"/>
        <v/>
      </c>
      <c r="G161" s="799" t="str">
        <f t="shared" si="88"/>
        <v/>
      </c>
      <c r="H161" s="800" t="str">
        <f t="shared" si="89"/>
        <v/>
      </c>
      <c r="I161" s="801" t="str">
        <f t="shared" si="89"/>
        <v/>
      </c>
      <c r="J161" s="799" t="str">
        <f t="shared" si="90"/>
        <v/>
      </c>
      <c r="K161" s="802" t="str">
        <f t="shared" si="109"/>
        <v/>
      </c>
      <c r="L161" s="1086"/>
      <c r="M161" s="789">
        <v>0</v>
      </c>
      <c r="N161" s="1215">
        <v>0</v>
      </c>
      <c r="O161" s="1216" t="str">
        <f t="shared" si="93"/>
        <v/>
      </c>
      <c r="P161" s="1096">
        <f t="shared" si="94"/>
        <v>0</v>
      </c>
      <c r="Q161" s="1095">
        <v>0</v>
      </c>
      <c r="R161" s="378" t="str">
        <f t="shared" si="95"/>
        <v/>
      </c>
      <c r="S161" s="378" t="str">
        <f t="shared" si="96"/>
        <v/>
      </c>
      <c r="T161" s="379">
        <f>ROUND(IF(K161="",0,+Q161/1659*(AB161*12*(1+tab!$G$79+tab!$G$80)-tab!$G$78)*tab!$G$76),-1)</f>
        <v>0</v>
      </c>
      <c r="U161" s="1111" t="str">
        <f t="shared" si="97"/>
        <v/>
      </c>
      <c r="V161" s="362"/>
      <c r="W161" s="852"/>
      <c r="AB161" s="1105" t="str">
        <f t="shared" si="92"/>
        <v/>
      </c>
      <c r="AC161" s="1144">
        <f t="shared" si="98"/>
        <v>0.54</v>
      </c>
      <c r="AD161" s="1104" t="e">
        <f t="shared" si="99"/>
        <v>#VALUE!</v>
      </c>
      <c r="AE161" s="1104" t="e">
        <f t="shared" si="100"/>
        <v>#VALUE!</v>
      </c>
      <c r="AF161" s="1104" t="e">
        <f t="shared" si="101"/>
        <v>#VALUE!</v>
      </c>
      <c r="AG161" s="14">
        <f t="shared" si="102"/>
        <v>0</v>
      </c>
      <c r="AH161" s="1106" t="str">
        <f t="shared" si="103"/>
        <v/>
      </c>
      <c r="AI161" s="14">
        <f t="shared" si="104"/>
        <v>0</v>
      </c>
      <c r="AJ161" s="1107">
        <f t="shared" si="105"/>
        <v>0.5</v>
      </c>
      <c r="AK161" s="6">
        <f t="shared" si="106"/>
        <v>0</v>
      </c>
      <c r="AL161" s="1108">
        <f t="shared" si="107"/>
        <v>0</v>
      </c>
    </row>
    <row r="162" spans="3:46" ht="12.75" customHeight="1" x14ac:dyDescent="0.2">
      <c r="C162" s="34"/>
      <c r="D162" s="798" t="str">
        <f t="shared" si="110"/>
        <v/>
      </c>
      <c r="E162" s="798" t="str">
        <f t="shared" si="110"/>
        <v/>
      </c>
      <c r="F162" s="798" t="str">
        <f t="shared" si="110"/>
        <v/>
      </c>
      <c r="G162" s="799" t="str">
        <f t="shared" si="88"/>
        <v/>
      </c>
      <c r="H162" s="800" t="str">
        <f t="shared" si="89"/>
        <v/>
      </c>
      <c r="I162" s="801" t="str">
        <f t="shared" si="89"/>
        <v/>
      </c>
      <c r="J162" s="799" t="str">
        <f t="shared" si="90"/>
        <v/>
      </c>
      <c r="K162" s="802" t="str">
        <f t="shared" si="109"/>
        <v/>
      </c>
      <c r="L162" s="1086"/>
      <c r="M162" s="789">
        <v>0</v>
      </c>
      <c r="N162" s="1215">
        <v>0</v>
      </c>
      <c r="O162" s="1216" t="str">
        <f t="shared" si="93"/>
        <v/>
      </c>
      <c r="P162" s="1096">
        <f t="shared" si="94"/>
        <v>0</v>
      </c>
      <c r="Q162" s="1095">
        <v>0</v>
      </c>
      <c r="R162" s="378" t="str">
        <f t="shared" si="95"/>
        <v/>
      </c>
      <c r="S162" s="378" t="str">
        <f t="shared" si="96"/>
        <v/>
      </c>
      <c r="T162" s="379">
        <f>ROUND(IF(K162="",0,+Q162/1659*(AB162*12*(1+tab!$G$79+tab!$G$80)-tab!$G$78)*tab!$G$76),-1)</f>
        <v>0</v>
      </c>
      <c r="U162" s="1111" t="str">
        <f t="shared" si="97"/>
        <v/>
      </c>
      <c r="V162" s="362"/>
      <c r="W162" s="852"/>
      <c r="AB162" s="1105" t="str">
        <f t="shared" si="92"/>
        <v/>
      </c>
      <c r="AC162" s="1144">
        <f t="shared" si="98"/>
        <v>0.54</v>
      </c>
      <c r="AD162" s="1104" t="e">
        <f t="shared" si="99"/>
        <v>#VALUE!</v>
      </c>
      <c r="AE162" s="1104" t="e">
        <f t="shared" si="100"/>
        <v>#VALUE!</v>
      </c>
      <c r="AF162" s="1104" t="e">
        <f t="shared" si="101"/>
        <v>#VALUE!</v>
      </c>
      <c r="AG162" s="14">
        <f t="shared" si="102"/>
        <v>0</v>
      </c>
      <c r="AH162" s="1106" t="str">
        <f t="shared" si="103"/>
        <v/>
      </c>
      <c r="AI162" s="14">
        <f t="shared" si="104"/>
        <v>0</v>
      </c>
      <c r="AJ162" s="1107">
        <f t="shared" si="105"/>
        <v>0.5</v>
      </c>
      <c r="AK162" s="6">
        <f t="shared" si="106"/>
        <v>0</v>
      </c>
      <c r="AL162" s="1108">
        <f t="shared" si="107"/>
        <v>0</v>
      </c>
    </row>
    <row r="163" spans="3:46" x14ac:dyDescent="0.2">
      <c r="C163" s="34"/>
      <c r="D163" s="363"/>
      <c r="E163" s="363"/>
      <c r="F163" s="363"/>
      <c r="G163" s="188"/>
      <c r="H163" s="364"/>
      <c r="I163" s="188"/>
      <c r="J163" s="365"/>
      <c r="K163" s="380">
        <f>SUM(K143:K162)</f>
        <v>1</v>
      </c>
      <c r="L163" s="1079"/>
      <c r="M163" s="1094">
        <f t="shared" ref="M163:U163" si="111">SUM(M143:M162)</f>
        <v>0</v>
      </c>
      <c r="N163" s="1094">
        <f t="shared" si="111"/>
        <v>0</v>
      </c>
      <c r="O163" s="1094">
        <f t="shared" si="111"/>
        <v>50</v>
      </c>
      <c r="P163" s="1094">
        <f t="shared" si="111"/>
        <v>50</v>
      </c>
      <c r="Q163" s="1094">
        <f t="shared" si="111"/>
        <v>0</v>
      </c>
      <c r="R163" s="1109">
        <f t="shared" si="111"/>
        <v>89077.498734177221</v>
      </c>
      <c r="S163" s="1109">
        <f t="shared" si="111"/>
        <v>2768.1012658227851</v>
      </c>
      <c r="T163" s="1109">
        <f t="shared" si="111"/>
        <v>0</v>
      </c>
      <c r="U163" s="1110">
        <f t="shared" si="111"/>
        <v>91845.6</v>
      </c>
      <c r="V163" s="348"/>
      <c r="W163" s="852"/>
      <c r="AB163" s="1105">
        <f>SUM(AB143:AB162)</f>
        <v>4970</v>
      </c>
      <c r="AL163" s="1108">
        <f>SUM(AL143:AL162)</f>
        <v>0</v>
      </c>
    </row>
    <row r="164" spans="3:46" x14ac:dyDescent="0.2">
      <c r="C164" s="34"/>
      <c r="D164" s="183"/>
      <c r="E164" s="183"/>
      <c r="F164" s="183"/>
      <c r="G164" s="182"/>
      <c r="H164" s="189"/>
      <c r="I164" s="182"/>
      <c r="J164" s="348"/>
      <c r="K164" s="349"/>
      <c r="L164" s="1083"/>
      <c r="M164" s="349"/>
      <c r="N164" s="348"/>
      <c r="O164" s="348"/>
      <c r="P164" s="366"/>
      <c r="Q164" s="366"/>
      <c r="R164" s="366"/>
      <c r="S164" s="366"/>
      <c r="T164" s="352"/>
      <c r="U164" s="367"/>
      <c r="V164" s="348"/>
      <c r="W164" s="852"/>
    </row>
    <row r="165" spans="3:46" x14ac:dyDescent="0.2">
      <c r="W165" s="852"/>
    </row>
    <row r="166" spans="3:46" s="7" customFormat="1" x14ac:dyDescent="0.2">
      <c r="D166" s="272"/>
      <c r="E166" s="272"/>
      <c r="F166" s="272"/>
      <c r="G166" s="273"/>
      <c r="H166" s="274"/>
      <c r="I166" s="275"/>
      <c r="J166" s="275"/>
      <c r="K166" s="277"/>
      <c r="L166" s="1088"/>
      <c r="M166" s="282"/>
      <c r="O166" s="283"/>
      <c r="T166" s="225"/>
      <c r="U166" s="284"/>
      <c r="W166" s="1147"/>
      <c r="AC166" s="273"/>
      <c r="AD166" s="281"/>
      <c r="AL166" s="273"/>
      <c r="AM166" s="281"/>
      <c r="AT166" s="6"/>
    </row>
    <row r="167" spans="3:46" x14ac:dyDescent="0.2">
      <c r="C167" s="6" t="s">
        <v>119</v>
      </c>
      <c r="E167" s="252" t="str">
        <f>tab!J2</f>
        <v>2023/24</v>
      </c>
      <c r="W167" s="852"/>
    </row>
    <row r="168" spans="3:46" x14ac:dyDescent="0.2">
      <c r="C168" s="6" t="s">
        <v>120</v>
      </c>
      <c r="E168" s="252">
        <f>+tab!K3</f>
        <v>45200</v>
      </c>
      <c r="W168" s="852"/>
    </row>
    <row r="169" spans="3:46" s="7" customFormat="1" x14ac:dyDescent="0.2">
      <c r="D169" s="272"/>
      <c r="E169" s="272"/>
      <c r="F169" s="272"/>
      <c r="G169" s="273"/>
      <c r="H169" s="274"/>
      <c r="I169" s="275"/>
      <c r="J169" s="275"/>
      <c r="K169" s="277"/>
      <c r="L169" s="1088"/>
      <c r="M169" s="282"/>
      <c r="O169" s="283"/>
      <c r="T169" s="225"/>
      <c r="U169" s="284"/>
      <c r="W169" s="1147"/>
      <c r="AC169" s="273"/>
      <c r="AD169" s="281"/>
      <c r="AL169" s="273"/>
      <c r="AM169" s="281"/>
      <c r="AT169" s="6"/>
    </row>
    <row r="170" spans="3:46" ht="12.75" customHeight="1" x14ac:dyDescent="0.2">
      <c r="C170" s="34"/>
      <c r="D170" s="183"/>
      <c r="E170" s="92"/>
      <c r="F170" s="183"/>
      <c r="G170" s="182"/>
      <c r="H170" s="189"/>
      <c r="I170" s="348"/>
      <c r="J170" s="348"/>
      <c r="K170" s="349"/>
      <c r="L170" s="1083"/>
      <c r="M170" s="350"/>
      <c r="N170" s="34"/>
      <c r="O170" s="351"/>
      <c r="P170" s="34"/>
      <c r="Q170" s="34"/>
      <c r="R170" s="34"/>
      <c r="S170" s="34"/>
      <c r="T170" s="352"/>
      <c r="U170" s="353"/>
      <c r="V170" s="34"/>
      <c r="W170" s="852"/>
      <c r="X170" s="852"/>
      <c r="AC170" s="1097"/>
      <c r="AD170" s="1098"/>
      <c r="AE170" s="1097"/>
      <c r="AF170" s="1097"/>
      <c r="AG170" s="1097"/>
      <c r="AH170" s="1099"/>
      <c r="AI170" s="1100"/>
      <c r="AJ170" s="1101"/>
      <c r="AK170" s="1102"/>
      <c r="AL170" s="1103"/>
      <c r="AM170" s="255"/>
      <c r="AT170" s="7"/>
    </row>
    <row r="171" spans="3:46" s="385" customFormat="1" ht="12.75" customHeight="1" x14ac:dyDescent="0.2">
      <c r="C171" s="1076"/>
      <c r="D171" s="1072" t="s">
        <v>121</v>
      </c>
      <c r="E171" s="1073"/>
      <c r="F171" s="1073"/>
      <c r="G171" s="1073"/>
      <c r="H171" s="1073"/>
      <c r="I171" s="1073"/>
      <c r="J171" s="1073"/>
      <c r="K171" s="1073"/>
      <c r="L171" s="1081"/>
      <c r="M171" s="1112" t="s">
        <v>649</v>
      </c>
      <c r="N171" s="1113"/>
      <c r="O171" s="1114"/>
      <c r="P171" s="1114"/>
      <c r="Q171" s="1113"/>
      <c r="R171" s="1115" t="s">
        <v>650</v>
      </c>
      <c r="S171" s="1116"/>
      <c r="T171" s="1116"/>
      <c r="U171" s="1116"/>
      <c r="V171" s="1117"/>
      <c r="W171" s="1145"/>
      <c r="X171" s="1119"/>
      <c r="Y171" s="1120"/>
      <c r="Z171" s="1121"/>
      <c r="AA171" s="1121"/>
      <c r="AB171" s="1122"/>
      <c r="AC171" s="1123"/>
      <c r="AD171" s="1124"/>
      <c r="AE171" s="1123"/>
      <c r="AF171" s="1125"/>
      <c r="AG171" s="1125"/>
      <c r="AH171" s="1126"/>
      <c r="AI171" s="1127"/>
      <c r="AJ171" s="1126"/>
      <c r="AK171" s="1128"/>
      <c r="AL171" s="1128"/>
      <c r="AN171" s="264"/>
      <c r="AO171" s="264"/>
    </row>
    <row r="172" spans="3:46" ht="12.75" customHeight="1" x14ac:dyDescent="0.2">
      <c r="C172" s="354"/>
      <c r="D172" s="369" t="s">
        <v>122</v>
      </c>
      <c r="E172" s="369" t="s">
        <v>123</v>
      </c>
      <c r="F172" s="369" t="s">
        <v>124</v>
      </c>
      <c r="G172" s="370" t="s">
        <v>125</v>
      </c>
      <c r="H172" s="371" t="s">
        <v>126</v>
      </c>
      <c r="I172" s="370" t="s">
        <v>91</v>
      </c>
      <c r="J172" s="370" t="s">
        <v>127</v>
      </c>
      <c r="K172" s="372" t="s">
        <v>128</v>
      </c>
      <c r="L172" s="1084"/>
      <c r="M172" s="1129" t="s">
        <v>651</v>
      </c>
      <c r="N172" s="1130" t="s">
        <v>652</v>
      </c>
      <c r="O172" s="1131" t="s">
        <v>653</v>
      </c>
      <c r="P172" s="1132" t="s">
        <v>654</v>
      </c>
      <c r="Q172" s="1130" t="s">
        <v>655</v>
      </c>
      <c r="R172" s="1131" t="s">
        <v>129</v>
      </c>
      <c r="S172" s="1129" t="s">
        <v>656</v>
      </c>
      <c r="T172" s="1129" t="s">
        <v>657</v>
      </c>
      <c r="U172" s="1129" t="s">
        <v>129</v>
      </c>
      <c r="V172" s="1133"/>
      <c r="W172" s="1146"/>
      <c r="X172" s="1135"/>
      <c r="Y172" s="1136"/>
      <c r="Z172" s="1137"/>
      <c r="AA172" s="1137"/>
      <c r="AB172" s="1141" t="s">
        <v>253</v>
      </c>
      <c r="AC172" s="1142" t="s">
        <v>658</v>
      </c>
      <c r="AD172" s="1143" t="s">
        <v>659</v>
      </c>
      <c r="AE172" s="1143" t="s">
        <v>659</v>
      </c>
      <c r="AF172" s="1143" t="s">
        <v>660</v>
      </c>
      <c r="AG172" s="1143" t="s">
        <v>655</v>
      </c>
      <c r="AH172" s="1143" t="s">
        <v>661</v>
      </c>
      <c r="AI172" s="1143" t="s">
        <v>662</v>
      </c>
      <c r="AJ172" s="1143" t="s">
        <v>663</v>
      </c>
      <c r="AK172" s="1143" t="s">
        <v>131</v>
      </c>
      <c r="AL172" s="1006" t="s">
        <v>266</v>
      </c>
      <c r="AM172" s="6"/>
      <c r="AN172" s="264"/>
      <c r="AO172" s="263"/>
    </row>
    <row r="173" spans="3:46" ht="12.75" customHeight="1" x14ac:dyDescent="0.2">
      <c r="C173" s="354"/>
      <c r="D173" s="374"/>
      <c r="E173" s="369"/>
      <c r="F173" s="375"/>
      <c r="G173" s="370" t="s">
        <v>133</v>
      </c>
      <c r="H173" s="371" t="s">
        <v>134</v>
      </c>
      <c r="I173" s="370"/>
      <c r="J173" s="370"/>
      <c r="K173" s="372"/>
      <c r="L173" s="1084"/>
      <c r="M173" s="1138" t="s">
        <v>664</v>
      </c>
      <c r="N173" s="1130" t="s">
        <v>665</v>
      </c>
      <c r="O173" s="1131" t="s">
        <v>666</v>
      </c>
      <c r="P173" s="1132" t="s">
        <v>71</v>
      </c>
      <c r="Q173" s="1130" t="s">
        <v>667</v>
      </c>
      <c r="R173" s="1131" t="s">
        <v>668</v>
      </c>
      <c r="S173" s="1139" t="s">
        <v>669</v>
      </c>
      <c r="T173" s="1139" t="s">
        <v>670</v>
      </c>
      <c r="U173" s="1129" t="s">
        <v>71</v>
      </c>
      <c r="V173" s="1133"/>
      <c r="W173" s="1146"/>
      <c r="X173" s="1135"/>
      <c r="Y173" s="1140"/>
      <c r="Z173" s="1137"/>
      <c r="AA173" s="1137"/>
      <c r="AB173" s="1143" t="s">
        <v>671</v>
      </c>
      <c r="AC173" s="1144">
        <f>tab!$E$69</f>
        <v>0.54</v>
      </c>
      <c r="AD173" s="1143" t="s">
        <v>672</v>
      </c>
      <c r="AE173" s="1143" t="s">
        <v>673</v>
      </c>
      <c r="AF173" s="1143" t="s">
        <v>674</v>
      </c>
      <c r="AG173" s="1143" t="s">
        <v>667</v>
      </c>
      <c r="AH173" s="1143" t="s">
        <v>675</v>
      </c>
      <c r="AI173" s="1143" t="s">
        <v>675</v>
      </c>
      <c r="AJ173" s="1143" t="s">
        <v>676</v>
      </c>
      <c r="AK173" s="1143"/>
      <c r="AL173" s="1143" t="s">
        <v>130</v>
      </c>
      <c r="AM173" s="6"/>
      <c r="AO173" s="265"/>
    </row>
    <row r="174" spans="3:46" ht="12.75" customHeight="1" x14ac:dyDescent="0.2">
      <c r="C174" s="34"/>
      <c r="D174" s="183"/>
      <c r="E174" s="183"/>
      <c r="F174" s="183"/>
      <c r="G174" s="182"/>
      <c r="H174" s="189"/>
      <c r="I174" s="355"/>
      <c r="J174" s="355"/>
      <c r="K174" s="356"/>
      <c r="L174" s="1085"/>
      <c r="M174" s="356"/>
      <c r="N174" s="357"/>
      <c r="O174" s="358"/>
      <c r="P174" s="359"/>
      <c r="Q174" s="359"/>
      <c r="R174" s="359"/>
      <c r="S174" s="359"/>
      <c r="T174" s="360"/>
      <c r="U174" s="361"/>
      <c r="V174" s="357"/>
      <c r="W174" s="852"/>
      <c r="AC174" s="6"/>
      <c r="AD174" s="6"/>
      <c r="AL174" s="6"/>
      <c r="AM174" s="6"/>
      <c r="AO174" s="265"/>
    </row>
    <row r="175" spans="3:46" ht="12.75" customHeight="1" x14ac:dyDescent="0.2">
      <c r="C175" s="34"/>
      <c r="D175" s="798" t="str">
        <f t="shared" ref="D175:F186" si="112">IF(D143=0,"",D143)</f>
        <v/>
      </c>
      <c r="E175" s="798" t="str">
        <f t="shared" si="112"/>
        <v>piet</v>
      </c>
      <c r="F175" s="798" t="str">
        <f t="shared" si="112"/>
        <v>chef</v>
      </c>
      <c r="G175" s="799">
        <f t="shared" ref="G175:G194" si="113">IF(G143="","",G143+1)</f>
        <v>27</v>
      </c>
      <c r="H175" s="800">
        <f t="shared" ref="H175:I194" si="114">IF(H143=0,"",H143)</f>
        <v>25600</v>
      </c>
      <c r="I175" s="801" t="str">
        <f>IF(I143=0,"",I143)</f>
        <v>LD</v>
      </c>
      <c r="J175" s="799">
        <f t="shared" ref="J175:J194" si="115">IF(E175="","",IF(J143&lt;VLOOKUP(I175,salmrt2020,18,FALSE),J143+1,J143))</f>
        <v>11</v>
      </c>
      <c r="K175" s="802">
        <f t="shared" ref="K175:K186" si="116">IF(K143="","",K143)</f>
        <v>1</v>
      </c>
      <c r="L175" s="1086"/>
      <c r="M175" s="789">
        <v>0</v>
      </c>
      <c r="N175" s="1215">
        <v>0</v>
      </c>
      <c r="O175" s="1216">
        <f>IF(K175="","",K175*50)</f>
        <v>50</v>
      </c>
      <c r="P175" s="1096">
        <f>SUM(M175:O175)</f>
        <v>50</v>
      </c>
      <c r="Q175" s="1095">
        <v>0</v>
      </c>
      <c r="R175" s="378">
        <f>IF(K175="","",(1659*K175-P175)*AE175)</f>
        <v>95368.48506329114</v>
      </c>
      <c r="S175" s="378">
        <f>IF(K175="","",P175*AF175+AD175*(AH175+AI175*(1-AJ175)))</f>
        <v>2963.5949367088606</v>
      </c>
      <c r="T175" s="379">
        <f>ROUND(IF(K175="",0,+Q175/1659*(AB175*12*(1+tab!$G$79+tab!$G$80)-tab!$G$78)*tab!$G$76),-1)</f>
        <v>0</v>
      </c>
      <c r="U175" s="1111">
        <f>IF(K175="","",IF(E175=0,0,(R175+S175+T175)))</f>
        <v>98332.08</v>
      </c>
      <c r="V175" s="362"/>
      <c r="W175" s="852"/>
      <c r="AB175" s="1105">
        <f t="shared" ref="AB175:AB194" si="117">IF(I175="","",VLOOKUP(I175,salaug2020,J175+1,FALSE))</f>
        <v>5321</v>
      </c>
      <c r="AC175" s="1144">
        <f>AC$173</f>
        <v>0.54</v>
      </c>
      <c r="AD175" s="1104">
        <f>AB175*12/1659</f>
        <v>38.488245931283906</v>
      </c>
      <c r="AE175" s="1104">
        <f>AB175*12*(1+AC175)/1659</f>
        <v>59.271898734177213</v>
      </c>
      <c r="AF175" s="1104">
        <f>+AE175-AD175</f>
        <v>20.783652802893307</v>
      </c>
      <c r="AG175" s="14">
        <f>Q175</f>
        <v>0</v>
      </c>
      <c r="AH175" s="1106">
        <f>O175</f>
        <v>50</v>
      </c>
      <c r="AI175" s="14">
        <f>(M175+N175)</f>
        <v>0</v>
      </c>
      <c r="AJ175" s="1107">
        <f>IF(I175&gt;8,50%,40%)</f>
        <v>0.5</v>
      </c>
      <c r="AK175" s="6">
        <f>IF(G175&lt;25,0,IF(G175=25,25,IF(G175&lt;40,0,IF(G175=40,40,IF(G175&gt;=40,0)))))</f>
        <v>0</v>
      </c>
      <c r="AL175" s="1108">
        <f>IF(AK175=25,AB175*1.08*K175/2,IF(AK175=40,AB175*1.08*K175,0))</f>
        <v>0</v>
      </c>
    </row>
    <row r="176" spans="3:46" ht="12.75" customHeight="1" x14ac:dyDescent="0.2">
      <c r="C176" s="34"/>
      <c r="D176" s="798" t="str">
        <f t="shared" si="112"/>
        <v/>
      </c>
      <c r="E176" s="798" t="str">
        <f t="shared" si="112"/>
        <v/>
      </c>
      <c r="F176" s="798" t="str">
        <f t="shared" si="112"/>
        <v/>
      </c>
      <c r="G176" s="799" t="str">
        <f t="shared" si="113"/>
        <v/>
      </c>
      <c r="H176" s="800" t="str">
        <f t="shared" si="114"/>
        <v/>
      </c>
      <c r="I176" s="801" t="str">
        <f t="shared" si="114"/>
        <v/>
      </c>
      <c r="J176" s="799" t="str">
        <f t="shared" si="115"/>
        <v/>
      </c>
      <c r="K176" s="802" t="str">
        <f t="shared" si="116"/>
        <v/>
      </c>
      <c r="L176" s="1086"/>
      <c r="M176" s="789">
        <v>0</v>
      </c>
      <c r="N176" s="1215">
        <v>0</v>
      </c>
      <c r="O176" s="1216" t="str">
        <f t="shared" ref="O176:O194" si="118">IF(K176="","",K176*50)</f>
        <v/>
      </c>
      <c r="P176" s="1096">
        <f t="shared" ref="P176:P194" si="119">SUM(M176:O176)</f>
        <v>0</v>
      </c>
      <c r="Q176" s="1095">
        <v>0</v>
      </c>
      <c r="R176" s="378" t="str">
        <f t="shared" ref="R176:R194" si="120">IF(K176="","",(1659*K176-P176)*AE176)</f>
        <v/>
      </c>
      <c r="S176" s="378" t="str">
        <f t="shared" ref="S176:S194" si="121">IF(K176="","",P176*AF176+AD176*(AH176+AI176*(1-AJ176)))</f>
        <v/>
      </c>
      <c r="T176" s="379">
        <f>ROUND(IF(K176="",0,+Q176/1659*(AB176*12*(1+tab!$G$79+tab!$G$80)-tab!$G$78)*tab!$G$76),-1)</f>
        <v>0</v>
      </c>
      <c r="U176" s="1111" t="str">
        <f t="shared" ref="U176:U194" si="122">IF(K176="","",IF(E176=0,0,(R176+S176+T176)))</f>
        <v/>
      </c>
      <c r="V176" s="362"/>
      <c r="W176" s="852"/>
      <c r="AB176" s="1105" t="str">
        <f t="shared" si="117"/>
        <v/>
      </c>
      <c r="AC176" s="1144">
        <f t="shared" ref="AC176:AC194" si="123">AC$173</f>
        <v>0.54</v>
      </c>
      <c r="AD176" s="1104" t="e">
        <f t="shared" ref="AD176:AD194" si="124">AB176*12/1659</f>
        <v>#VALUE!</v>
      </c>
      <c r="AE176" s="1104" t="e">
        <f t="shared" ref="AE176:AE194" si="125">AB176*12*(1+AC176)/1659</f>
        <v>#VALUE!</v>
      </c>
      <c r="AF176" s="1104" t="e">
        <f t="shared" ref="AF176:AF194" si="126">+AE176-AD176</f>
        <v>#VALUE!</v>
      </c>
      <c r="AG176" s="14">
        <f t="shared" ref="AG176:AG194" si="127">Q176</f>
        <v>0</v>
      </c>
      <c r="AH176" s="1106" t="str">
        <f t="shared" ref="AH176:AH194" si="128">O176</f>
        <v/>
      </c>
      <c r="AI176" s="14">
        <f t="shared" ref="AI176:AI194" si="129">(M176+N176)</f>
        <v>0</v>
      </c>
      <c r="AJ176" s="1107">
        <f t="shared" ref="AJ176:AJ194" si="130">IF(I176&gt;8,50%,40%)</f>
        <v>0.5</v>
      </c>
      <c r="AK176" s="6">
        <f t="shared" ref="AK176:AK194" si="131">IF(G176&lt;25,0,IF(G176=25,25,IF(G176&lt;40,0,IF(G176=40,40,IF(G176&gt;=40,0)))))</f>
        <v>0</v>
      </c>
      <c r="AL176" s="1108">
        <f t="shared" ref="AL176:AL194" si="132">IF(AK176=25,AB176*1.08*K176/2,IF(AK176=40,AB176*1.08*K176,0))</f>
        <v>0</v>
      </c>
    </row>
    <row r="177" spans="3:38" ht="12.75" customHeight="1" x14ac:dyDescent="0.2">
      <c r="C177" s="34"/>
      <c r="D177" s="798" t="str">
        <f t="shared" si="112"/>
        <v/>
      </c>
      <c r="E177" s="803" t="str">
        <f t="shared" si="112"/>
        <v/>
      </c>
      <c r="F177" s="803" t="str">
        <f t="shared" si="112"/>
        <v/>
      </c>
      <c r="G177" s="801" t="str">
        <f t="shared" si="113"/>
        <v/>
      </c>
      <c r="H177" s="804" t="str">
        <f t="shared" si="114"/>
        <v/>
      </c>
      <c r="I177" s="801" t="str">
        <f t="shared" si="114"/>
        <v/>
      </c>
      <c r="J177" s="799" t="str">
        <f t="shared" si="115"/>
        <v/>
      </c>
      <c r="K177" s="805" t="str">
        <f t="shared" si="116"/>
        <v/>
      </c>
      <c r="L177" s="1087"/>
      <c r="M177" s="789">
        <v>0</v>
      </c>
      <c r="N177" s="1215">
        <v>0</v>
      </c>
      <c r="O177" s="1216" t="str">
        <f t="shared" si="118"/>
        <v/>
      </c>
      <c r="P177" s="1096">
        <f t="shared" si="119"/>
        <v>0</v>
      </c>
      <c r="Q177" s="1095">
        <v>0</v>
      </c>
      <c r="R177" s="378" t="str">
        <f t="shared" si="120"/>
        <v/>
      </c>
      <c r="S177" s="378" t="str">
        <f t="shared" si="121"/>
        <v/>
      </c>
      <c r="T177" s="379">
        <f>ROUND(IF(K177="",0,+Q177/1659*(AB177*12*(1+tab!$G$79+tab!$G$80)-tab!$G$78)*tab!$G$76),-1)</f>
        <v>0</v>
      </c>
      <c r="U177" s="1111" t="str">
        <f t="shared" si="122"/>
        <v/>
      </c>
      <c r="V177" s="362"/>
      <c r="W177" s="852"/>
      <c r="AB177" s="1105" t="str">
        <f t="shared" si="117"/>
        <v/>
      </c>
      <c r="AC177" s="1144">
        <f t="shared" si="123"/>
        <v>0.54</v>
      </c>
      <c r="AD177" s="1104" t="e">
        <f t="shared" si="124"/>
        <v>#VALUE!</v>
      </c>
      <c r="AE177" s="1104" t="e">
        <f t="shared" si="125"/>
        <v>#VALUE!</v>
      </c>
      <c r="AF177" s="1104" t="e">
        <f t="shared" si="126"/>
        <v>#VALUE!</v>
      </c>
      <c r="AG177" s="14">
        <f t="shared" si="127"/>
        <v>0</v>
      </c>
      <c r="AH177" s="1106" t="str">
        <f t="shared" si="128"/>
        <v/>
      </c>
      <c r="AI177" s="14">
        <f t="shared" si="129"/>
        <v>0</v>
      </c>
      <c r="AJ177" s="1107">
        <f t="shared" si="130"/>
        <v>0.5</v>
      </c>
      <c r="AK177" s="6">
        <f t="shared" si="131"/>
        <v>0</v>
      </c>
      <c r="AL177" s="1108">
        <f t="shared" si="132"/>
        <v>0</v>
      </c>
    </row>
    <row r="178" spans="3:38" ht="12.75" customHeight="1" x14ac:dyDescent="0.2">
      <c r="C178" s="34"/>
      <c r="D178" s="798" t="str">
        <f t="shared" si="112"/>
        <v/>
      </c>
      <c r="E178" s="798" t="str">
        <f t="shared" si="112"/>
        <v/>
      </c>
      <c r="F178" s="798" t="str">
        <f t="shared" si="112"/>
        <v/>
      </c>
      <c r="G178" s="799" t="str">
        <f t="shared" si="113"/>
        <v/>
      </c>
      <c r="H178" s="800" t="str">
        <f t="shared" si="114"/>
        <v/>
      </c>
      <c r="I178" s="801" t="str">
        <f t="shared" si="114"/>
        <v/>
      </c>
      <c r="J178" s="799" t="str">
        <f t="shared" si="115"/>
        <v/>
      </c>
      <c r="K178" s="802" t="str">
        <f t="shared" si="116"/>
        <v/>
      </c>
      <c r="L178" s="1086"/>
      <c r="M178" s="789">
        <v>0</v>
      </c>
      <c r="N178" s="1215">
        <v>0</v>
      </c>
      <c r="O178" s="1216" t="str">
        <f t="shared" si="118"/>
        <v/>
      </c>
      <c r="P178" s="1096">
        <f t="shared" si="119"/>
        <v>0</v>
      </c>
      <c r="Q178" s="1095">
        <v>0</v>
      </c>
      <c r="R178" s="378" t="str">
        <f t="shared" si="120"/>
        <v/>
      </c>
      <c r="S178" s="378" t="str">
        <f t="shared" si="121"/>
        <v/>
      </c>
      <c r="T178" s="379">
        <f>ROUND(IF(K178="",0,+Q178/1659*(AB178*12*(1+tab!$G$79+tab!$G$80)-tab!$G$78)*tab!$G$76),-1)</f>
        <v>0</v>
      </c>
      <c r="U178" s="1111" t="str">
        <f t="shared" si="122"/>
        <v/>
      </c>
      <c r="V178" s="362"/>
      <c r="W178" s="852"/>
      <c r="AB178" s="1105" t="str">
        <f t="shared" si="117"/>
        <v/>
      </c>
      <c r="AC178" s="1144">
        <f t="shared" si="123"/>
        <v>0.54</v>
      </c>
      <c r="AD178" s="1104" t="e">
        <f t="shared" si="124"/>
        <v>#VALUE!</v>
      </c>
      <c r="AE178" s="1104" t="e">
        <f t="shared" si="125"/>
        <v>#VALUE!</v>
      </c>
      <c r="AF178" s="1104" t="e">
        <f t="shared" si="126"/>
        <v>#VALUE!</v>
      </c>
      <c r="AG178" s="14">
        <f t="shared" si="127"/>
        <v>0</v>
      </c>
      <c r="AH178" s="1106" t="str">
        <f t="shared" si="128"/>
        <v/>
      </c>
      <c r="AI178" s="14">
        <f t="shared" si="129"/>
        <v>0</v>
      </c>
      <c r="AJ178" s="1107">
        <f t="shared" si="130"/>
        <v>0.5</v>
      </c>
      <c r="AK178" s="6">
        <f t="shared" si="131"/>
        <v>0</v>
      </c>
      <c r="AL178" s="1108">
        <f t="shared" si="132"/>
        <v>0</v>
      </c>
    </row>
    <row r="179" spans="3:38" ht="12.75" customHeight="1" x14ac:dyDescent="0.2">
      <c r="C179" s="34"/>
      <c r="D179" s="798" t="str">
        <f t="shared" si="112"/>
        <v/>
      </c>
      <c r="E179" s="798" t="str">
        <f t="shared" si="112"/>
        <v/>
      </c>
      <c r="F179" s="798" t="str">
        <f t="shared" si="112"/>
        <v/>
      </c>
      <c r="G179" s="799" t="str">
        <f t="shared" si="113"/>
        <v/>
      </c>
      <c r="H179" s="800" t="str">
        <f t="shared" si="114"/>
        <v/>
      </c>
      <c r="I179" s="801" t="str">
        <f t="shared" si="114"/>
        <v/>
      </c>
      <c r="J179" s="799" t="str">
        <f t="shared" si="115"/>
        <v/>
      </c>
      <c r="K179" s="802" t="str">
        <f t="shared" si="116"/>
        <v/>
      </c>
      <c r="L179" s="1086"/>
      <c r="M179" s="789">
        <v>0</v>
      </c>
      <c r="N179" s="1215">
        <v>0</v>
      </c>
      <c r="O179" s="1216" t="str">
        <f t="shared" si="118"/>
        <v/>
      </c>
      <c r="P179" s="1096">
        <f t="shared" si="119"/>
        <v>0</v>
      </c>
      <c r="Q179" s="1095">
        <v>0</v>
      </c>
      <c r="R179" s="378" t="str">
        <f t="shared" si="120"/>
        <v/>
      </c>
      <c r="S179" s="378" t="str">
        <f t="shared" si="121"/>
        <v/>
      </c>
      <c r="T179" s="379">
        <f>ROUND(IF(K179="",0,+Q179/1659*(AB179*12*(1+tab!$G$79+tab!$G$80)-tab!$G$78)*tab!$G$76),-1)</f>
        <v>0</v>
      </c>
      <c r="U179" s="1111" t="str">
        <f t="shared" si="122"/>
        <v/>
      </c>
      <c r="V179" s="362"/>
      <c r="W179" s="852"/>
      <c r="AB179" s="1105" t="str">
        <f t="shared" si="117"/>
        <v/>
      </c>
      <c r="AC179" s="1144">
        <f t="shared" si="123"/>
        <v>0.54</v>
      </c>
      <c r="AD179" s="1104" t="e">
        <f t="shared" si="124"/>
        <v>#VALUE!</v>
      </c>
      <c r="AE179" s="1104" t="e">
        <f t="shared" si="125"/>
        <v>#VALUE!</v>
      </c>
      <c r="AF179" s="1104" t="e">
        <f t="shared" si="126"/>
        <v>#VALUE!</v>
      </c>
      <c r="AG179" s="14">
        <f t="shared" si="127"/>
        <v>0</v>
      </c>
      <c r="AH179" s="1106" t="str">
        <f t="shared" si="128"/>
        <v/>
      </c>
      <c r="AI179" s="14">
        <f t="shared" si="129"/>
        <v>0</v>
      </c>
      <c r="AJ179" s="1107">
        <f t="shared" si="130"/>
        <v>0.5</v>
      </c>
      <c r="AK179" s="6">
        <f t="shared" si="131"/>
        <v>0</v>
      </c>
      <c r="AL179" s="1108">
        <f t="shared" si="132"/>
        <v>0</v>
      </c>
    </row>
    <row r="180" spans="3:38" ht="12.75" customHeight="1" x14ac:dyDescent="0.2">
      <c r="C180" s="34"/>
      <c r="D180" s="798" t="str">
        <f t="shared" si="112"/>
        <v/>
      </c>
      <c r="E180" s="798" t="str">
        <f t="shared" si="112"/>
        <v/>
      </c>
      <c r="F180" s="798" t="str">
        <f t="shared" si="112"/>
        <v/>
      </c>
      <c r="G180" s="799" t="str">
        <f t="shared" si="113"/>
        <v/>
      </c>
      <c r="H180" s="800" t="str">
        <f t="shared" si="114"/>
        <v/>
      </c>
      <c r="I180" s="801" t="str">
        <f t="shared" si="114"/>
        <v/>
      </c>
      <c r="J180" s="799" t="str">
        <f t="shared" si="115"/>
        <v/>
      </c>
      <c r="K180" s="802" t="str">
        <f t="shared" si="116"/>
        <v/>
      </c>
      <c r="L180" s="1086"/>
      <c r="M180" s="789">
        <v>0</v>
      </c>
      <c r="N180" s="1215">
        <v>0</v>
      </c>
      <c r="O180" s="1216" t="str">
        <f t="shared" si="118"/>
        <v/>
      </c>
      <c r="P180" s="1096">
        <f t="shared" si="119"/>
        <v>0</v>
      </c>
      <c r="Q180" s="1095">
        <v>0</v>
      </c>
      <c r="R180" s="378" t="str">
        <f t="shared" si="120"/>
        <v/>
      </c>
      <c r="S180" s="378" t="str">
        <f t="shared" si="121"/>
        <v/>
      </c>
      <c r="T180" s="379">
        <f>ROUND(IF(K180="",0,+Q180/1659*(AB180*12*(1+tab!$G$79+tab!$G$80)-tab!$G$78)*tab!$G$76),-1)</f>
        <v>0</v>
      </c>
      <c r="U180" s="1111" t="str">
        <f t="shared" si="122"/>
        <v/>
      </c>
      <c r="V180" s="362"/>
      <c r="W180" s="852"/>
      <c r="AB180" s="1105" t="str">
        <f t="shared" si="117"/>
        <v/>
      </c>
      <c r="AC180" s="1144">
        <f t="shared" si="123"/>
        <v>0.54</v>
      </c>
      <c r="AD180" s="1104" t="e">
        <f t="shared" si="124"/>
        <v>#VALUE!</v>
      </c>
      <c r="AE180" s="1104" t="e">
        <f t="shared" si="125"/>
        <v>#VALUE!</v>
      </c>
      <c r="AF180" s="1104" t="e">
        <f t="shared" si="126"/>
        <v>#VALUE!</v>
      </c>
      <c r="AG180" s="14">
        <f t="shared" si="127"/>
        <v>0</v>
      </c>
      <c r="AH180" s="1106" t="str">
        <f t="shared" si="128"/>
        <v/>
      </c>
      <c r="AI180" s="14">
        <f t="shared" si="129"/>
        <v>0</v>
      </c>
      <c r="AJ180" s="1107">
        <f t="shared" si="130"/>
        <v>0.5</v>
      </c>
      <c r="AK180" s="6">
        <f t="shared" si="131"/>
        <v>0</v>
      </c>
      <c r="AL180" s="1108">
        <f t="shared" si="132"/>
        <v>0</v>
      </c>
    </row>
    <row r="181" spans="3:38" ht="12.75" customHeight="1" x14ac:dyDescent="0.2">
      <c r="C181" s="34"/>
      <c r="D181" s="798" t="str">
        <f t="shared" si="112"/>
        <v/>
      </c>
      <c r="E181" s="798" t="str">
        <f t="shared" si="112"/>
        <v/>
      </c>
      <c r="F181" s="798" t="str">
        <f t="shared" si="112"/>
        <v/>
      </c>
      <c r="G181" s="799" t="str">
        <f t="shared" si="113"/>
        <v/>
      </c>
      <c r="H181" s="800" t="str">
        <f t="shared" si="114"/>
        <v/>
      </c>
      <c r="I181" s="801" t="str">
        <f t="shared" si="114"/>
        <v/>
      </c>
      <c r="J181" s="799" t="str">
        <f t="shared" si="115"/>
        <v/>
      </c>
      <c r="K181" s="802" t="str">
        <f t="shared" si="116"/>
        <v/>
      </c>
      <c r="L181" s="1086"/>
      <c r="M181" s="789">
        <v>0</v>
      </c>
      <c r="N181" s="1215">
        <v>0</v>
      </c>
      <c r="O181" s="1216" t="str">
        <f t="shared" si="118"/>
        <v/>
      </c>
      <c r="P181" s="1096">
        <f t="shared" si="119"/>
        <v>0</v>
      </c>
      <c r="Q181" s="1095">
        <v>0</v>
      </c>
      <c r="R181" s="378" t="str">
        <f t="shared" si="120"/>
        <v/>
      </c>
      <c r="S181" s="378" t="str">
        <f t="shared" si="121"/>
        <v/>
      </c>
      <c r="T181" s="379">
        <f>ROUND(IF(K181="",0,+Q181/1659*(AB181*12*(1+tab!$G$79+tab!$G$80)-tab!$G$78)*tab!$G$76),-1)</f>
        <v>0</v>
      </c>
      <c r="U181" s="1111" t="str">
        <f t="shared" si="122"/>
        <v/>
      </c>
      <c r="V181" s="362"/>
      <c r="W181" s="852"/>
      <c r="AB181" s="1105" t="str">
        <f t="shared" si="117"/>
        <v/>
      </c>
      <c r="AC181" s="1144">
        <f t="shared" si="123"/>
        <v>0.54</v>
      </c>
      <c r="AD181" s="1104" t="e">
        <f t="shared" si="124"/>
        <v>#VALUE!</v>
      </c>
      <c r="AE181" s="1104" t="e">
        <f t="shared" si="125"/>
        <v>#VALUE!</v>
      </c>
      <c r="AF181" s="1104" t="e">
        <f t="shared" si="126"/>
        <v>#VALUE!</v>
      </c>
      <c r="AG181" s="14">
        <f t="shared" si="127"/>
        <v>0</v>
      </c>
      <c r="AH181" s="1106" t="str">
        <f t="shared" si="128"/>
        <v/>
      </c>
      <c r="AI181" s="14">
        <f t="shared" si="129"/>
        <v>0</v>
      </c>
      <c r="AJ181" s="1107">
        <f t="shared" si="130"/>
        <v>0.5</v>
      </c>
      <c r="AK181" s="6">
        <f t="shared" si="131"/>
        <v>0</v>
      </c>
      <c r="AL181" s="1108">
        <f t="shared" si="132"/>
        <v>0</v>
      </c>
    </row>
    <row r="182" spans="3:38" ht="12.75" customHeight="1" x14ac:dyDescent="0.2">
      <c r="C182" s="34"/>
      <c r="D182" s="798" t="str">
        <f t="shared" si="112"/>
        <v/>
      </c>
      <c r="E182" s="798" t="str">
        <f t="shared" si="112"/>
        <v/>
      </c>
      <c r="F182" s="798" t="str">
        <f t="shared" si="112"/>
        <v/>
      </c>
      <c r="G182" s="799" t="str">
        <f t="shared" si="113"/>
        <v/>
      </c>
      <c r="H182" s="800" t="str">
        <f t="shared" si="114"/>
        <v/>
      </c>
      <c r="I182" s="801" t="str">
        <f t="shared" si="114"/>
        <v/>
      </c>
      <c r="J182" s="799" t="str">
        <f t="shared" si="115"/>
        <v/>
      </c>
      <c r="K182" s="802" t="str">
        <f t="shared" si="116"/>
        <v/>
      </c>
      <c r="L182" s="1086"/>
      <c r="M182" s="789">
        <v>0</v>
      </c>
      <c r="N182" s="1215">
        <v>0</v>
      </c>
      <c r="O182" s="1216" t="str">
        <f t="shared" si="118"/>
        <v/>
      </c>
      <c r="P182" s="1096">
        <f t="shared" si="119"/>
        <v>0</v>
      </c>
      <c r="Q182" s="1095">
        <v>0</v>
      </c>
      <c r="R182" s="378" t="str">
        <f t="shared" si="120"/>
        <v/>
      </c>
      <c r="S182" s="378" t="str">
        <f t="shared" si="121"/>
        <v/>
      </c>
      <c r="T182" s="379">
        <f>ROUND(IF(K182="",0,+Q182/1659*(AB182*12*(1+tab!$G$79+tab!$G$80)-tab!$G$78)*tab!$G$76),-1)</f>
        <v>0</v>
      </c>
      <c r="U182" s="1111" t="str">
        <f t="shared" si="122"/>
        <v/>
      </c>
      <c r="V182" s="362"/>
      <c r="W182" s="852"/>
      <c r="AB182" s="1105" t="str">
        <f t="shared" si="117"/>
        <v/>
      </c>
      <c r="AC182" s="1144">
        <f t="shared" si="123"/>
        <v>0.54</v>
      </c>
      <c r="AD182" s="1104" t="e">
        <f t="shared" si="124"/>
        <v>#VALUE!</v>
      </c>
      <c r="AE182" s="1104" t="e">
        <f t="shared" si="125"/>
        <v>#VALUE!</v>
      </c>
      <c r="AF182" s="1104" t="e">
        <f t="shared" si="126"/>
        <v>#VALUE!</v>
      </c>
      <c r="AG182" s="14">
        <f t="shared" si="127"/>
        <v>0</v>
      </c>
      <c r="AH182" s="1106" t="str">
        <f t="shared" si="128"/>
        <v/>
      </c>
      <c r="AI182" s="14">
        <f t="shared" si="129"/>
        <v>0</v>
      </c>
      <c r="AJ182" s="1107">
        <f t="shared" si="130"/>
        <v>0.5</v>
      </c>
      <c r="AK182" s="6">
        <f t="shared" si="131"/>
        <v>0</v>
      </c>
      <c r="AL182" s="1108">
        <f t="shared" si="132"/>
        <v>0</v>
      </c>
    </row>
    <row r="183" spans="3:38" ht="12.75" customHeight="1" x14ac:dyDescent="0.2">
      <c r="C183" s="34"/>
      <c r="D183" s="798" t="str">
        <f t="shared" si="112"/>
        <v/>
      </c>
      <c r="E183" s="798" t="str">
        <f t="shared" si="112"/>
        <v/>
      </c>
      <c r="F183" s="798" t="str">
        <f t="shared" si="112"/>
        <v/>
      </c>
      <c r="G183" s="799" t="str">
        <f t="shared" si="113"/>
        <v/>
      </c>
      <c r="H183" s="800" t="str">
        <f t="shared" si="114"/>
        <v/>
      </c>
      <c r="I183" s="801" t="str">
        <f t="shared" si="114"/>
        <v/>
      </c>
      <c r="J183" s="799" t="str">
        <f t="shared" si="115"/>
        <v/>
      </c>
      <c r="K183" s="802" t="str">
        <f t="shared" si="116"/>
        <v/>
      </c>
      <c r="L183" s="1086"/>
      <c r="M183" s="789">
        <v>0</v>
      </c>
      <c r="N183" s="1215">
        <v>0</v>
      </c>
      <c r="O183" s="1216" t="str">
        <f t="shared" si="118"/>
        <v/>
      </c>
      <c r="P183" s="1096">
        <f t="shared" si="119"/>
        <v>0</v>
      </c>
      <c r="Q183" s="1095">
        <v>0</v>
      </c>
      <c r="R183" s="378" t="str">
        <f t="shared" si="120"/>
        <v/>
      </c>
      <c r="S183" s="378" t="str">
        <f t="shared" si="121"/>
        <v/>
      </c>
      <c r="T183" s="379">
        <f>ROUND(IF(K183="",0,+Q183/1659*(AB183*12*(1+tab!$G$79+tab!$G$80)-tab!$G$78)*tab!$G$76),-1)</f>
        <v>0</v>
      </c>
      <c r="U183" s="1111" t="str">
        <f t="shared" si="122"/>
        <v/>
      </c>
      <c r="V183" s="362"/>
      <c r="W183" s="852"/>
      <c r="AB183" s="1105" t="str">
        <f t="shared" si="117"/>
        <v/>
      </c>
      <c r="AC183" s="1144">
        <f t="shared" si="123"/>
        <v>0.54</v>
      </c>
      <c r="AD183" s="1104" t="e">
        <f t="shared" si="124"/>
        <v>#VALUE!</v>
      </c>
      <c r="AE183" s="1104" t="e">
        <f t="shared" si="125"/>
        <v>#VALUE!</v>
      </c>
      <c r="AF183" s="1104" t="e">
        <f t="shared" si="126"/>
        <v>#VALUE!</v>
      </c>
      <c r="AG183" s="14">
        <f t="shared" si="127"/>
        <v>0</v>
      </c>
      <c r="AH183" s="1106" t="str">
        <f t="shared" si="128"/>
        <v/>
      </c>
      <c r="AI183" s="14">
        <f t="shared" si="129"/>
        <v>0</v>
      </c>
      <c r="AJ183" s="1107">
        <f t="shared" si="130"/>
        <v>0.5</v>
      </c>
      <c r="AK183" s="6">
        <f t="shared" si="131"/>
        <v>0</v>
      </c>
      <c r="AL183" s="1108">
        <f t="shared" si="132"/>
        <v>0</v>
      </c>
    </row>
    <row r="184" spans="3:38" ht="12.75" customHeight="1" x14ac:dyDescent="0.2">
      <c r="C184" s="34"/>
      <c r="D184" s="798" t="str">
        <f t="shared" si="112"/>
        <v/>
      </c>
      <c r="E184" s="798" t="str">
        <f t="shared" si="112"/>
        <v/>
      </c>
      <c r="F184" s="798" t="str">
        <f t="shared" si="112"/>
        <v/>
      </c>
      <c r="G184" s="799" t="str">
        <f t="shared" si="113"/>
        <v/>
      </c>
      <c r="H184" s="800" t="str">
        <f t="shared" si="114"/>
        <v/>
      </c>
      <c r="I184" s="801" t="str">
        <f t="shared" si="114"/>
        <v/>
      </c>
      <c r="J184" s="799" t="str">
        <f t="shared" si="115"/>
        <v/>
      </c>
      <c r="K184" s="802" t="str">
        <f t="shared" si="116"/>
        <v/>
      </c>
      <c r="L184" s="1086"/>
      <c r="M184" s="789">
        <v>0</v>
      </c>
      <c r="N184" s="1215">
        <v>0</v>
      </c>
      <c r="O184" s="1216" t="str">
        <f t="shared" si="118"/>
        <v/>
      </c>
      <c r="P184" s="1096">
        <f t="shared" si="119"/>
        <v>0</v>
      </c>
      <c r="Q184" s="1095">
        <v>0</v>
      </c>
      <c r="R184" s="378" t="str">
        <f t="shared" si="120"/>
        <v/>
      </c>
      <c r="S184" s="378" t="str">
        <f t="shared" si="121"/>
        <v/>
      </c>
      <c r="T184" s="379">
        <f>ROUND(IF(K184="",0,+Q184/1659*(AB184*12*(1+tab!$G$79+tab!$G$80)-tab!$G$78)*tab!$G$76),-1)</f>
        <v>0</v>
      </c>
      <c r="U184" s="1111" t="str">
        <f t="shared" si="122"/>
        <v/>
      </c>
      <c r="V184" s="362"/>
      <c r="W184" s="852"/>
      <c r="AB184" s="1105" t="str">
        <f t="shared" si="117"/>
        <v/>
      </c>
      <c r="AC184" s="1144">
        <f t="shared" si="123"/>
        <v>0.54</v>
      </c>
      <c r="AD184" s="1104" t="e">
        <f t="shared" si="124"/>
        <v>#VALUE!</v>
      </c>
      <c r="AE184" s="1104" t="e">
        <f t="shared" si="125"/>
        <v>#VALUE!</v>
      </c>
      <c r="AF184" s="1104" t="e">
        <f t="shared" si="126"/>
        <v>#VALUE!</v>
      </c>
      <c r="AG184" s="14">
        <f t="shared" si="127"/>
        <v>0</v>
      </c>
      <c r="AH184" s="1106" t="str">
        <f t="shared" si="128"/>
        <v/>
      </c>
      <c r="AI184" s="14">
        <f t="shared" si="129"/>
        <v>0</v>
      </c>
      <c r="AJ184" s="1107">
        <f t="shared" si="130"/>
        <v>0.5</v>
      </c>
      <c r="AK184" s="6">
        <f t="shared" si="131"/>
        <v>0</v>
      </c>
      <c r="AL184" s="1108">
        <f t="shared" si="132"/>
        <v>0</v>
      </c>
    </row>
    <row r="185" spans="3:38" ht="12.75" customHeight="1" x14ac:dyDescent="0.2">
      <c r="C185" s="34"/>
      <c r="D185" s="798" t="str">
        <f t="shared" si="112"/>
        <v/>
      </c>
      <c r="E185" s="798" t="str">
        <f t="shared" si="112"/>
        <v/>
      </c>
      <c r="F185" s="798" t="str">
        <f t="shared" si="112"/>
        <v/>
      </c>
      <c r="G185" s="799" t="str">
        <f t="shared" si="113"/>
        <v/>
      </c>
      <c r="H185" s="800" t="str">
        <f t="shared" si="114"/>
        <v/>
      </c>
      <c r="I185" s="801" t="str">
        <f t="shared" si="114"/>
        <v/>
      </c>
      <c r="J185" s="799" t="str">
        <f t="shared" si="115"/>
        <v/>
      </c>
      <c r="K185" s="802" t="str">
        <f t="shared" si="116"/>
        <v/>
      </c>
      <c r="L185" s="1086"/>
      <c r="M185" s="789">
        <v>0</v>
      </c>
      <c r="N185" s="1215">
        <v>0</v>
      </c>
      <c r="O185" s="1216" t="str">
        <f t="shared" si="118"/>
        <v/>
      </c>
      <c r="P185" s="1096">
        <f t="shared" si="119"/>
        <v>0</v>
      </c>
      <c r="Q185" s="1095">
        <v>0</v>
      </c>
      <c r="R185" s="378" t="str">
        <f t="shared" si="120"/>
        <v/>
      </c>
      <c r="S185" s="378" t="str">
        <f t="shared" si="121"/>
        <v/>
      </c>
      <c r="T185" s="379">
        <f>ROUND(IF(K185="",0,+Q185/1659*(AB185*12*(1+tab!$G$79+tab!$G$80)-tab!$G$78)*tab!$G$76),-1)</f>
        <v>0</v>
      </c>
      <c r="U185" s="1111" t="str">
        <f t="shared" si="122"/>
        <v/>
      </c>
      <c r="V185" s="362"/>
      <c r="W185" s="852"/>
      <c r="AB185" s="1105" t="str">
        <f t="shared" si="117"/>
        <v/>
      </c>
      <c r="AC185" s="1144">
        <f t="shared" si="123"/>
        <v>0.54</v>
      </c>
      <c r="AD185" s="1104" t="e">
        <f t="shared" si="124"/>
        <v>#VALUE!</v>
      </c>
      <c r="AE185" s="1104" t="e">
        <f t="shared" si="125"/>
        <v>#VALUE!</v>
      </c>
      <c r="AF185" s="1104" t="e">
        <f t="shared" si="126"/>
        <v>#VALUE!</v>
      </c>
      <c r="AG185" s="14">
        <f t="shared" si="127"/>
        <v>0</v>
      </c>
      <c r="AH185" s="1106" t="str">
        <f t="shared" si="128"/>
        <v/>
      </c>
      <c r="AI185" s="14">
        <f t="shared" si="129"/>
        <v>0</v>
      </c>
      <c r="AJ185" s="1107">
        <f t="shared" si="130"/>
        <v>0.5</v>
      </c>
      <c r="AK185" s="6">
        <f t="shared" si="131"/>
        <v>0</v>
      </c>
      <c r="AL185" s="1108">
        <f t="shared" si="132"/>
        <v>0</v>
      </c>
    </row>
    <row r="186" spans="3:38" ht="12.75" customHeight="1" x14ac:dyDescent="0.2">
      <c r="C186" s="34"/>
      <c r="D186" s="798" t="str">
        <f t="shared" si="112"/>
        <v/>
      </c>
      <c r="E186" s="798" t="str">
        <f t="shared" si="112"/>
        <v/>
      </c>
      <c r="F186" s="798" t="str">
        <f t="shared" si="112"/>
        <v/>
      </c>
      <c r="G186" s="799" t="str">
        <f t="shared" si="113"/>
        <v/>
      </c>
      <c r="H186" s="800" t="str">
        <f t="shared" si="114"/>
        <v/>
      </c>
      <c r="I186" s="801" t="str">
        <f t="shared" si="114"/>
        <v/>
      </c>
      <c r="J186" s="799" t="str">
        <f t="shared" si="115"/>
        <v/>
      </c>
      <c r="K186" s="802" t="str">
        <f t="shared" si="116"/>
        <v/>
      </c>
      <c r="L186" s="1086"/>
      <c r="M186" s="789">
        <v>0</v>
      </c>
      <c r="N186" s="1215">
        <v>0</v>
      </c>
      <c r="O186" s="1216" t="str">
        <f t="shared" si="118"/>
        <v/>
      </c>
      <c r="P186" s="1096">
        <f t="shared" si="119"/>
        <v>0</v>
      </c>
      <c r="Q186" s="1095">
        <v>0</v>
      </c>
      <c r="R186" s="378" t="str">
        <f t="shared" si="120"/>
        <v/>
      </c>
      <c r="S186" s="378" t="str">
        <f t="shared" si="121"/>
        <v/>
      </c>
      <c r="T186" s="379">
        <f>ROUND(IF(K186="",0,+Q186/1659*(AB186*12*(1+tab!$G$79+tab!$G$80)-tab!$G$78)*tab!$G$76),-1)</f>
        <v>0</v>
      </c>
      <c r="U186" s="1111" t="str">
        <f t="shared" si="122"/>
        <v/>
      </c>
      <c r="V186" s="362"/>
      <c r="W186" s="852"/>
      <c r="AB186" s="1105" t="str">
        <f t="shared" si="117"/>
        <v/>
      </c>
      <c r="AC186" s="1144">
        <f t="shared" si="123"/>
        <v>0.54</v>
      </c>
      <c r="AD186" s="1104" t="e">
        <f t="shared" si="124"/>
        <v>#VALUE!</v>
      </c>
      <c r="AE186" s="1104" t="e">
        <f t="shared" si="125"/>
        <v>#VALUE!</v>
      </c>
      <c r="AF186" s="1104" t="e">
        <f t="shared" si="126"/>
        <v>#VALUE!</v>
      </c>
      <c r="AG186" s="14">
        <f t="shared" si="127"/>
        <v>0</v>
      </c>
      <c r="AH186" s="1106" t="str">
        <f t="shared" si="128"/>
        <v/>
      </c>
      <c r="AI186" s="14">
        <f t="shared" si="129"/>
        <v>0</v>
      </c>
      <c r="AJ186" s="1107">
        <f t="shared" si="130"/>
        <v>0.5</v>
      </c>
      <c r="AK186" s="6">
        <f t="shared" si="131"/>
        <v>0</v>
      </c>
      <c r="AL186" s="1108">
        <f t="shared" si="132"/>
        <v>0</v>
      </c>
    </row>
    <row r="187" spans="3:38" ht="12.75" customHeight="1" x14ac:dyDescent="0.2">
      <c r="C187" s="34"/>
      <c r="D187" s="798" t="str">
        <f t="shared" ref="D187:F189" si="133">IF(D155=0,"",D155)</f>
        <v/>
      </c>
      <c r="E187" s="798" t="str">
        <f t="shared" si="133"/>
        <v/>
      </c>
      <c r="F187" s="798" t="str">
        <f t="shared" si="133"/>
        <v/>
      </c>
      <c r="G187" s="799" t="str">
        <f t="shared" si="113"/>
        <v/>
      </c>
      <c r="H187" s="800" t="str">
        <f t="shared" si="114"/>
        <v/>
      </c>
      <c r="I187" s="801" t="str">
        <f t="shared" si="114"/>
        <v/>
      </c>
      <c r="J187" s="799" t="str">
        <f t="shared" si="115"/>
        <v/>
      </c>
      <c r="K187" s="802" t="str">
        <f t="shared" ref="K187:K194" si="134">IF(K155="","",K155)</f>
        <v/>
      </c>
      <c r="L187" s="1086"/>
      <c r="M187" s="789">
        <v>0</v>
      </c>
      <c r="N187" s="1215">
        <v>0</v>
      </c>
      <c r="O187" s="1216" t="str">
        <f t="shared" si="118"/>
        <v/>
      </c>
      <c r="P187" s="1096">
        <f t="shared" si="119"/>
        <v>0</v>
      </c>
      <c r="Q187" s="1095">
        <v>0</v>
      </c>
      <c r="R187" s="378" t="str">
        <f t="shared" si="120"/>
        <v/>
      </c>
      <c r="S187" s="378" t="str">
        <f t="shared" si="121"/>
        <v/>
      </c>
      <c r="T187" s="379">
        <f>ROUND(IF(K187="",0,+Q187/1659*(AB187*12*(1+tab!$G$79+tab!$G$80)-tab!$G$78)*tab!$G$76),-1)</f>
        <v>0</v>
      </c>
      <c r="U187" s="1111" t="str">
        <f t="shared" si="122"/>
        <v/>
      </c>
      <c r="V187" s="362"/>
      <c r="W187" s="852"/>
      <c r="AB187" s="1105" t="str">
        <f t="shared" si="117"/>
        <v/>
      </c>
      <c r="AC187" s="1144">
        <f t="shared" si="123"/>
        <v>0.54</v>
      </c>
      <c r="AD187" s="1104" t="e">
        <f t="shared" si="124"/>
        <v>#VALUE!</v>
      </c>
      <c r="AE187" s="1104" t="e">
        <f t="shared" si="125"/>
        <v>#VALUE!</v>
      </c>
      <c r="AF187" s="1104" t="e">
        <f t="shared" si="126"/>
        <v>#VALUE!</v>
      </c>
      <c r="AG187" s="14">
        <f t="shared" si="127"/>
        <v>0</v>
      </c>
      <c r="AH187" s="1106" t="str">
        <f t="shared" si="128"/>
        <v/>
      </c>
      <c r="AI187" s="14">
        <f t="shared" si="129"/>
        <v>0</v>
      </c>
      <c r="AJ187" s="1107">
        <f t="shared" si="130"/>
        <v>0.5</v>
      </c>
      <c r="AK187" s="6">
        <f t="shared" si="131"/>
        <v>0</v>
      </c>
      <c r="AL187" s="1108">
        <f t="shared" si="132"/>
        <v>0</v>
      </c>
    </row>
    <row r="188" spans="3:38" ht="12.75" customHeight="1" x14ac:dyDescent="0.2">
      <c r="C188" s="34"/>
      <c r="D188" s="798" t="str">
        <f t="shared" si="133"/>
        <v/>
      </c>
      <c r="E188" s="798" t="str">
        <f t="shared" si="133"/>
        <v/>
      </c>
      <c r="F188" s="798" t="str">
        <f t="shared" si="133"/>
        <v/>
      </c>
      <c r="G188" s="799" t="str">
        <f t="shared" si="113"/>
        <v/>
      </c>
      <c r="H188" s="800" t="str">
        <f t="shared" si="114"/>
        <v/>
      </c>
      <c r="I188" s="801" t="str">
        <f t="shared" si="114"/>
        <v/>
      </c>
      <c r="J188" s="799" t="str">
        <f t="shared" si="115"/>
        <v/>
      </c>
      <c r="K188" s="802" t="str">
        <f t="shared" si="134"/>
        <v/>
      </c>
      <c r="L188" s="1086"/>
      <c r="M188" s="789">
        <v>0</v>
      </c>
      <c r="N188" s="1215">
        <v>0</v>
      </c>
      <c r="O188" s="1216" t="str">
        <f t="shared" si="118"/>
        <v/>
      </c>
      <c r="P188" s="1096">
        <f t="shared" si="119"/>
        <v>0</v>
      </c>
      <c r="Q188" s="1095">
        <v>0</v>
      </c>
      <c r="R188" s="378" t="str">
        <f t="shared" si="120"/>
        <v/>
      </c>
      <c r="S188" s="378" t="str">
        <f t="shared" si="121"/>
        <v/>
      </c>
      <c r="T188" s="379">
        <f>ROUND(IF(K188="",0,+Q188/1659*(AB188*12*(1+tab!$G$79+tab!$G$80)-tab!$G$78)*tab!$G$76),-1)</f>
        <v>0</v>
      </c>
      <c r="U188" s="1111" t="str">
        <f t="shared" si="122"/>
        <v/>
      </c>
      <c r="V188" s="362"/>
      <c r="W188" s="852"/>
      <c r="AB188" s="1105" t="str">
        <f t="shared" si="117"/>
        <v/>
      </c>
      <c r="AC188" s="1144">
        <f t="shared" si="123"/>
        <v>0.54</v>
      </c>
      <c r="AD188" s="1104" t="e">
        <f t="shared" si="124"/>
        <v>#VALUE!</v>
      </c>
      <c r="AE188" s="1104" t="e">
        <f t="shared" si="125"/>
        <v>#VALUE!</v>
      </c>
      <c r="AF188" s="1104" t="e">
        <f t="shared" si="126"/>
        <v>#VALUE!</v>
      </c>
      <c r="AG188" s="14">
        <f t="shared" si="127"/>
        <v>0</v>
      </c>
      <c r="AH188" s="1106" t="str">
        <f t="shared" si="128"/>
        <v/>
      </c>
      <c r="AI188" s="14">
        <f t="shared" si="129"/>
        <v>0</v>
      </c>
      <c r="AJ188" s="1107">
        <f t="shared" si="130"/>
        <v>0.5</v>
      </c>
      <c r="AK188" s="6">
        <f t="shared" si="131"/>
        <v>0</v>
      </c>
      <c r="AL188" s="1108">
        <f t="shared" si="132"/>
        <v>0</v>
      </c>
    </row>
    <row r="189" spans="3:38" ht="12.75" customHeight="1" x14ac:dyDescent="0.2">
      <c r="C189" s="34"/>
      <c r="D189" s="798" t="str">
        <f t="shared" si="133"/>
        <v/>
      </c>
      <c r="E189" s="798" t="str">
        <f t="shared" si="133"/>
        <v/>
      </c>
      <c r="F189" s="798" t="str">
        <f t="shared" si="133"/>
        <v/>
      </c>
      <c r="G189" s="799" t="str">
        <f t="shared" si="113"/>
        <v/>
      </c>
      <c r="H189" s="800" t="str">
        <f t="shared" si="114"/>
        <v/>
      </c>
      <c r="I189" s="801" t="str">
        <f t="shared" si="114"/>
        <v/>
      </c>
      <c r="J189" s="799" t="str">
        <f t="shared" si="115"/>
        <v/>
      </c>
      <c r="K189" s="802" t="str">
        <f t="shared" si="134"/>
        <v/>
      </c>
      <c r="L189" s="1086"/>
      <c r="M189" s="789">
        <v>0</v>
      </c>
      <c r="N189" s="1215">
        <v>0</v>
      </c>
      <c r="O189" s="1216" t="str">
        <f t="shared" si="118"/>
        <v/>
      </c>
      <c r="P189" s="1096">
        <f t="shared" si="119"/>
        <v>0</v>
      </c>
      <c r="Q189" s="1095">
        <v>0</v>
      </c>
      <c r="R189" s="378" t="str">
        <f t="shared" si="120"/>
        <v/>
      </c>
      <c r="S189" s="378" t="str">
        <f t="shared" si="121"/>
        <v/>
      </c>
      <c r="T189" s="379">
        <f>ROUND(IF(K189="",0,+Q189/1659*(AB189*12*(1+tab!$G$79+tab!$G$80)-tab!$G$78)*tab!$G$76),-1)</f>
        <v>0</v>
      </c>
      <c r="U189" s="1111" t="str">
        <f t="shared" si="122"/>
        <v/>
      </c>
      <c r="V189" s="362"/>
      <c r="W189" s="852"/>
      <c r="AB189" s="1105" t="str">
        <f t="shared" si="117"/>
        <v/>
      </c>
      <c r="AC189" s="1144">
        <f t="shared" si="123"/>
        <v>0.54</v>
      </c>
      <c r="AD189" s="1104" t="e">
        <f t="shared" si="124"/>
        <v>#VALUE!</v>
      </c>
      <c r="AE189" s="1104" t="e">
        <f t="shared" si="125"/>
        <v>#VALUE!</v>
      </c>
      <c r="AF189" s="1104" t="e">
        <f t="shared" si="126"/>
        <v>#VALUE!</v>
      </c>
      <c r="AG189" s="14">
        <f t="shared" si="127"/>
        <v>0</v>
      </c>
      <c r="AH189" s="1106" t="str">
        <f t="shared" si="128"/>
        <v/>
      </c>
      <c r="AI189" s="14">
        <f t="shared" si="129"/>
        <v>0</v>
      </c>
      <c r="AJ189" s="1107">
        <f t="shared" si="130"/>
        <v>0.5</v>
      </c>
      <c r="AK189" s="6">
        <f t="shared" si="131"/>
        <v>0</v>
      </c>
      <c r="AL189" s="1108">
        <f t="shared" si="132"/>
        <v>0</v>
      </c>
    </row>
    <row r="190" spans="3:38" ht="12.75" customHeight="1" x14ac:dyDescent="0.2">
      <c r="C190" s="34"/>
      <c r="D190" s="798" t="str">
        <f t="shared" ref="D190:F194" si="135">IF(D158=0,"",D158)</f>
        <v/>
      </c>
      <c r="E190" s="798" t="str">
        <f t="shared" si="135"/>
        <v/>
      </c>
      <c r="F190" s="798" t="str">
        <f t="shared" si="135"/>
        <v/>
      </c>
      <c r="G190" s="799" t="str">
        <f t="shared" si="113"/>
        <v/>
      </c>
      <c r="H190" s="800" t="str">
        <f t="shared" si="114"/>
        <v/>
      </c>
      <c r="I190" s="801" t="str">
        <f t="shared" si="114"/>
        <v/>
      </c>
      <c r="J190" s="799" t="str">
        <f t="shared" si="115"/>
        <v/>
      </c>
      <c r="K190" s="802" t="str">
        <f t="shared" si="134"/>
        <v/>
      </c>
      <c r="L190" s="1086"/>
      <c r="M190" s="789">
        <v>0</v>
      </c>
      <c r="N190" s="1215">
        <v>0</v>
      </c>
      <c r="O190" s="1216" t="str">
        <f t="shared" si="118"/>
        <v/>
      </c>
      <c r="P190" s="1096">
        <f t="shared" si="119"/>
        <v>0</v>
      </c>
      <c r="Q190" s="1095">
        <v>0</v>
      </c>
      <c r="R190" s="378" t="str">
        <f t="shared" si="120"/>
        <v/>
      </c>
      <c r="S190" s="378" t="str">
        <f t="shared" si="121"/>
        <v/>
      </c>
      <c r="T190" s="379">
        <f>ROUND(IF(K190="",0,+Q190/1659*(AB190*12*(1+tab!$G$79+tab!$G$80)-tab!$G$78)*tab!$G$76),-1)</f>
        <v>0</v>
      </c>
      <c r="U190" s="1111" t="str">
        <f t="shared" si="122"/>
        <v/>
      </c>
      <c r="V190" s="362"/>
      <c r="W190" s="852"/>
      <c r="AB190" s="1105" t="str">
        <f t="shared" si="117"/>
        <v/>
      </c>
      <c r="AC190" s="1144">
        <f t="shared" si="123"/>
        <v>0.54</v>
      </c>
      <c r="AD190" s="1104" t="e">
        <f t="shared" si="124"/>
        <v>#VALUE!</v>
      </c>
      <c r="AE190" s="1104" t="e">
        <f t="shared" si="125"/>
        <v>#VALUE!</v>
      </c>
      <c r="AF190" s="1104" t="e">
        <f t="shared" si="126"/>
        <v>#VALUE!</v>
      </c>
      <c r="AG190" s="14">
        <f t="shared" si="127"/>
        <v>0</v>
      </c>
      <c r="AH190" s="1106" t="str">
        <f t="shared" si="128"/>
        <v/>
      </c>
      <c r="AI190" s="14">
        <f t="shared" si="129"/>
        <v>0</v>
      </c>
      <c r="AJ190" s="1107">
        <f t="shared" si="130"/>
        <v>0.5</v>
      </c>
      <c r="AK190" s="6">
        <f t="shared" si="131"/>
        <v>0</v>
      </c>
      <c r="AL190" s="1108">
        <f t="shared" si="132"/>
        <v>0</v>
      </c>
    </row>
    <row r="191" spans="3:38" ht="12.75" customHeight="1" x14ac:dyDescent="0.2">
      <c r="C191" s="34"/>
      <c r="D191" s="798" t="str">
        <f t="shared" si="135"/>
        <v/>
      </c>
      <c r="E191" s="798" t="str">
        <f t="shared" si="135"/>
        <v/>
      </c>
      <c r="F191" s="798" t="str">
        <f t="shared" si="135"/>
        <v/>
      </c>
      <c r="G191" s="799" t="str">
        <f t="shared" si="113"/>
        <v/>
      </c>
      <c r="H191" s="800" t="str">
        <f t="shared" si="114"/>
        <v/>
      </c>
      <c r="I191" s="801" t="str">
        <f t="shared" si="114"/>
        <v/>
      </c>
      <c r="J191" s="799" t="str">
        <f t="shared" si="115"/>
        <v/>
      </c>
      <c r="K191" s="802" t="str">
        <f t="shared" si="134"/>
        <v/>
      </c>
      <c r="L191" s="1086"/>
      <c r="M191" s="789">
        <v>0</v>
      </c>
      <c r="N191" s="1215">
        <v>0</v>
      </c>
      <c r="O191" s="1216" t="str">
        <f t="shared" si="118"/>
        <v/>
      </c>
      <c r="P191" s="1096">
        <f t="shared" si="119"/>
        <v>0</v>
      </c>
      <c r="Q191" s="1095">
        <v>0</v>
      </c>
      <c r="R191" s="378" t="str">
        <f t="shared" si="120"/>
        <v/>
      </c>
      <c r="S191" s="378" t="str">
        <f t="shared" si="121"/>
        <v/>
      </c>
      <c r="T191" s="379">
        <f>ROUND(IF(K191="",0,+Q191/1659*(AB191*12*(1+tab!$G$79+tab!$G$80)-tab!$G$78)*tab!$G$76),-1)</f>
        <v>0</v>
      </c>
      <c r="U191" s="1111" t="str">
        <f t="shared" si="122"/>
        <v/>
      </c>
      <c r="V191" s="362"/>
      <c r="W191" s="852"/>
      <c r="AB191" s="1105" t="str">
        <f t="shared" si="117"/>
        <v/>
      </c>
      <c r="AC191" s="1144">
        <f t="shared" si="123"/>
        <v>0.54</v>
      </c>
      <c r="AD191" s="1104" t="e">
        <f t="shared" si="124"/>
        <v>#VALUE!</v>
      </c>
      <c r="AE191" s="1104" t="e">
        <f t="shared" si="125"/>
        <v>#VALUE!</v>
      </c>
      <c r="AF191" s="1104" t="e">
        <f t="shared" si="126"/>
        <v>#VALUE!</v>
      </c>
      <c r="AG191" s="14">
        <f t="shared" si="127"/>
        <v>0</v>
      </c>
      <c r="AH191" s="1106" t="str">
        <f t="shared" si="128"/>
        <v/>
      </c>
      <c r="AI191" s="14">
        <f t="shared" si="129"/>
        <v>0</v>
      </c>
      <c r="AJ191" s="1107">
        <f t="shared" si="130"/>
        <v>0.5</v>
      </c>
      <c r="AK191" s="6">
        <f t="shared" si="131"/>
        <v>0</v>
      </c>
      <c r="AL191" s="1108">
        <f t="shared" si="132"/>
        <v>0</v>
      </c>
    </row>
    <row r="192" spans="3:38" ht="12.75" customHeight="1" x14ac:dyDescent="0.2">
      <c r="C192" s="34"/>
      <c r="D192" s="798" t="str">
        <f t="shared" si="135"/>
        <v/>
      </c>
      <c r="E192" s="798" t="str">
        <f t="shared" si="135"/>
        <v/>
      </c>
      <c r="F192" s="798" t="str">
        <f t="shared" si="135"/>
        <v/>
      </c>
      <c r="G192" s="799" t="str">
        <f t="shared" si="113"/>
        <v/>
      </c>
      <c r="H192" s="800" t="str">
        <f t="shared" si="114"/>
        <v/>
      </c>
      <c r="I192" s="801" t="str">
        <f t="shared" si="114"/>
        <v/>
      </c>
      <c r="J192" s="799" t="str">
        <f t="shared" si="115"/>
        <v/>
      </c>
      <c r="K192" s="802" t="str">
        <f t="shared" si="134"/>
        <v/>
      </c>
      <c r="L192" s="1086"/>
      <c r="M192" s="789">
        <v>0</v>
      </c>
      <c r="N192" s="1215">
        <v>0</v>
      </c>
      <c r="O192" s="1216" t="str">
        <f t="shared" si="118"/>
        <v/>
      </c>
      <c r="P192" s="1096">
        <f t="shared" si="119"/>
        <v>0</v>
      </c>
      <c r="Q192" s="1095">
        <v>0</v>
      </c>
      <c r="R192" s="378" t="str">
        <f t="shared" si="120"/>
        <v/>
      </c>
      <c r="S192" s="378" t="str">
        <f t="shared" si="121"/>
        <v/>
      </c>
      <c r="T192" s="379">
        <f>ROUND(IF(K192="",0,+Q192/1659*(AB192*12*(1+tab!$G$79+tab!$G$80)-tab!$G$78)*tab!$G$76),-1)</f>
        <v>0</v>
      </c>
      <c r="U192" s="1111" t="str">
        <f t="shared" si="122"/>
        <v/>
      </c>
      <c r="V192" s="362"/>
      <c r="W192" s="852"/>
      <c r="AB192" s="1105" t="str">
        <f t="shared" si="117"/>
        <v/>
      </c>
      <c r="AC192" s="1144">
        <f t="shared" si="123"/>
        <v>0.54</v>
      </c>
      <c r="AD192" s="1104" t="e">
        <f t="shared" si="124"/>
        <v>#VALUE!</v>
      </c>
      <c r="AE192" s="1104" t="e">
        <f t="shared" si="125"/>
        <v>#VALUE!</v>
      </c>
      <c r="AF192" s="1104" t="e">
        <f t="shared" si="126"/>
        <v>#VALUE!</v>
      </c>
      <c r="AG192" s="14">
        <f t="shared" si="127"/>
        <v>0</v>
      </c>
      <c r="AH192" s="1106" t="str">
        <f t="shared" si="128"/>
        <v/>
      </c>
      <c r="AI192" s="14">
        <f t="shared" si="129"/>
        <v>0</v>
      </c>
      <c r="AJ192" s="1107">
        <f t="shared" si="130"/>
        <v>0.5</v>
      </c>
      <c r="AK192" s="6">
        <f t="shared" si="131"/>
        <v>0</v>
      </c>
      <c r="AL192" s="1108">
        <f t="shared" si="132"/>
        <v>0</v>
      </c>
    </row>
    <row r="193" spans="3:46" ht="12.75" customHeight="1" x14ac:dyDescent="0.2">
      <c r="C193" s="34"/>
      <c r="D193" s="798" t="str">
        <f t="shared" si="135"/>
        <v/>
      </c>
      <c r="E193" s="798" t="str">
        <f t="shared" si="135"/>
        <v/>
      </c>
      <c r="F193" s="798" t="str">
        <f t="shared" si="135"/>
        <v/>
      </c>
      <c r="G193" s="799" t="str">
        <f t="shared" si="113"/>
        <v/>
      </c>
      <c r="H193" s="800" t="str">
        <f t="shared" si="114"/>
        <v/>
      </c>
      <c r="I193" s="801" t="str">
        <f t="shared" si="114"/>
        <v/>
      </c>
      <c r="J193" s="799" t="str">
        <f t="shared" si="115"/>
        <v/>
      </c>
      <c r="K193" s="802" t="str">
        <f t="shared" si="134"/>
        <v/>
      </c>
      <c r="L193" s="1086"/>
      <c r="M193" s="789">
        <v>0</v>
      </c>
      <c r="N193" s="1215">
        <v>0</v>
      </c>
      <c r="O193" s="1216" t="str">
        <f t="shared" si="118"/>
        <v/>
      </c>
      <c r="P193" s="1096">
        <f t="shared" si="119"/>
        <v>0</v>
      </c>
      <c r="Q193" s="1095">
        <v>0</v>
      </c>
      <c r="R193" s="378" t="str">
        <f t="shared" si="120"/>
        <v/>
      </c>
      <c r="S193" s="378" t="str">
        <f t="shared" si="121"/>
        <v/>
      </c>
      <c r="T193" s="379">
        <f>ROUND(IF(K193="",0,+Q193/1659*(AB193*12*(1+tab!$G$79+tab!$G$80)-tab!$G$78)*tab!$G$76),-1)</f>
        <v>0</v>
      </c>
      <c r="U193" s="1111" t="str">
        <f t="shared" si="122"/>
        <v/>
      </c>
      <c r="V193" s="362"/>
      <c r="W193" s="852"/>
      <c r="AB193" s="1105" t="str">
        <f t="shared" si="117"/>
        <v/>
      </c>
      <c r="AC193" s="1144">
        <f t="shared" si="123"/>
        <v>0.54</v>
      </c>
      <c r="AD193" s="1104" t="e">
        <f t="shared" si="124"/>
        <v>#VALUE!</v>
      </c>
      <c r="AE193" s="1104" t="e">
        <f t="shared" si="125"/>
        <v>#VALUE!</v>
      </c>
      <c r="AF193" s="1104" t="e">
        <f t="shared" si="126"/>
        <v>#VALUE!</v>
      </c>
      <c r="AG193" s="14">
        <f t="shared" si="127"/>
        <v>0</v>
      </c>
      <c r="AH193" s="1106" t="str">
        <f t="shared" si="128"/>
        <v/>
      </c>
      <c r="AI193" s="14">
        <f t="shared" si="129"/>
        <v>0</v>
      </c>
      <c r="AJ193" s="1107">
        <f t="shared" si="130"/>
        <v>0.5</v>
      </c>
      <c r="AK193" s="6">
        <f t="shared" si="131"/>
        <v>0</v>
      </c>
      <c r="AL193" s="1108">
        <f t="shared" si="132"/>
        <v>0</v>
      </c>
    </row>
    <row r="194" spans="3:46" ht="12.75" customHeight="1" x14ac:dyDescent="0.2">
      <c r="C194" s="34"/>
      <c r="D194" s="798" t="str">
        <f t="shared" si="135"/>
        <v/>
      </c>
      <c r="E194" s="798" t="str">
        <f t="shared" si="135"/>
        <v/>
      </c>
      <c r="F194" s="798" t="str">
        <f t="shared" si="135"/>
        <v/>
      </c>
      <c r="G194" s="799" t="str">
        <f t="shared" si="113"/>
        <v/>
      </c>
      <c r="H194" s="800" t="str">
        <f t="shared" si="114"/>
        <v/>
      </c>
      <c r="I194" s="801" t="str">
        <f t="shared" si="114"/>
        <v/>
      </c>
      <c r="J194" s="799" t="str">
        <f t="shared" si="115"/>
        <v/>
      </c>
      <c r="K194" s="802" t="str">
        <f t="shared" si="134"/>
        <v/>
      </c>
      <c r="L194" s="1086"/>
      <c r="M194" s="789">
        <v>0</v>
      </c>
      <c r="N194" s="1215">
        <v>0</v>
      </c>
      <c r="O194" s="1216" t="str">
        <f t="shared" si="118"/>
        <v/>
      </c>
      <c r="P194" s="1096">
        <f t="shared" si="119"/>
        <v>0</v>
      </c>
      <c r="Q194" s="1095">
        <v>0</v>
      </c>
      <c r="R194" s="378" t="str">
        <f t="shared" si="120"/>
        <v/>
      </c>
      <c r="S194" s="378" t="str">
        <f t="shared" si="121"/>
        <v/>
      </c>
      <c r="T194" s="379">
        <f>ROUND(IF(K194="",0,+Q194/1659*(AB194*12*(1+tab!$G$79+tab!$G$80)-tab!$G$78)*tab!$G$76),-1)</f>
        <v>0</v>
      </c>
      <c r="U194" s="1111" t="str">
        <f t="shared" si="122"/>
        <v/>
      </c>
      <c r="V194" s="362"/>
      <c r="W194" s="852"/>
      <c r="AB194" s="1105" t="str">
        <f t="shared" si="117"/>
        <v/>
      </c>
      <c r="AC194" s="1144">
        <f t="shared" si="123"/>
        <v>0.54</v>
      </c>
      <c r="AD194" s="1104" t="e">
        <f t="shared" si="124"/>
        <v>#VALUE!</v>
      </c>
      <c r="AE194" s="1104" t="e">
        <f t="shared" si="125"/>
        <v>#VALUE!</v>
      </c>
      <c r="AF194" s="1104" t="e">
        <f t="shared" si="126"/>
        <v>#VALUE!</v>
      </c>
      <c r="AG194" s="14">
        <f t="shared" si="127"/>
        <v>0</v>
      </c>
      <c r="AH194" s="1106" t="str">
        <f t="shared" si="128"/>
        <v/>
      </c>
      <c r="AI194" s="14">
        <f t="shared" si="129"/>
        <v>0</v>
      </c>
      <c r="AJ194" s="1107">
        <f t="shared" si="130"/>
        <v>0.5</v>
      </c>
      <c r="AK194" s="6">
        <f t="shared" si="131"/>
        <v>0</v>
      </c>
      <c r="AL194" s="1108">
        <f t="shared" si="132"/>
        <v>0</v>
      </c>
    </row>
    <row r="195" spans="3:46" x14ac:dyDescent="0.2">
      <c r="C195" s="34"/>
      <c r="D195" s="363"/>
      <c r="E195" s="363"/>
      <c r="F195" s="363"/>
      <c r="G195" s="188"/>
      <c r="H195" s="364"/>
      <c r="I195" s="188"/>
      <c r="J195" s="365"/>
      <c r="K195" s="380">
        <f>SUM(K175:K194)</f>
        <v>1</v>
      </c>
      <c r="L195" s="1079"/>
      <c r="M195" s="1094">
        <f t="shared" ref="M195:U195" si="136">SUM(M175:M194)</f>
        <v>0</v>
      </c>
      <c r="N195" s="1094">
        <f t="shared" si="136"/>
        <v>0</v>
      </c>
      <c r="O195" s="1094">
        <f t="shared" si="136"/>
        <v>50</v>
      </c>
      <c r="P195" s="1094">
        <f t="shared" si="136"/>
        <v>50</v>
      </c>
      <c r="Q195" s="1094">
        <f t="shared" si="136"/>
        <v>0</v>
      </c>
      <c r="R195" s="1109">
        <f t="shared" si="136"/>
        <v>95368.48506329114</v>
      </c>
      <c r="S195" s="1109">
        <f t="shared" si="136"/>
        <v>2963.5949367088606</v>
      </c>
      <c r="T195" s="1109">
        <f t="shared" si="136"/>
        <v>0</v>
      </c>
      <c r="U195" s="1110">
        <f t="shared" si="136"/>
        <v>98332.08</v>
      </c>
      <c r="V195" s="348"/>
      <c r="W195" s="852"/>
      <c r="AB195" s="1105">
        <f>SUM(AB175:AB194)</f>
        <v>5321</v>
      </c>
      <c r="AL195" s="1108">
        <f>SUM(AL175:AL194)</f>
        <v>0</v>
      </c>
    </row>
    <row r="196" spans="3:46" x14ac:dyDescent="0.2">
      <c r="C196" s="34"/>
      <c r="D196" s="183"/>
      <c r="E196" s="183"/>
      <c r="F196" s="183"/>
      <c r="G196" s="182"/>
      <c r="H196" s="189"/>
      <c r="I196" s="182"/>
      <c r="J196" s="348"/>
      <c r="K196" s="349"/>
      <c r="L196" s="1083"/>
      <c r="M196" s="349"/>
      <c r="N196" s="348"/>
      <c r="O196" s="348"/>
      <c r="P196" s="366"/>
      <c r="Q196" s="366"/>
      <c r="R196" s="366"/>
      <c r="S196" s="366"/>
      <c r="T196" s="352"/>
      <c r="U196" s="367"/>
      <c r="V196" s="348"/>
      <c r="W196" s="852"/>
    </row>
    <row r="197" spans="3:46" x14ac:dyDescent="0.2">
      <c r="W197" s="852"/>
    </row>
    <row r="198" spans="3:46" s="7" customFormat="1" x14ac:dyDescent="0.2">
      <c r="D198" s="272"/>
      <c r="E198" s="272"/>
      <c r="F198" s="272"/>
      <c r="G198" s="273"/>
      <c r="H198" s="274"/>
      <c r="I198" s="275"/>
      <c r="J198" s="275"/>
      <c r="K198" s="277"/>
      <c r="L198" s="1088"/>
      <c r="M198" s="282"/>
      <c r="O198" s="283"/>
      <c r="T198" s="225"/>
      <c r="U198" s="284"/>
      <c r="W198" s="1147"/>
      <c r="AC198" s="273"/>
      <c r="AD198" s="281"/>
      <c r="AL198" s="273"/>
      <c r="AM198" s="281"/>
      <c r="AT198" s="6"/>
    </row>
    <row r="199" spans="3:46" x14ac:dyDescent="0.2">
      <c r="C199" s="6" t="s">
        <v>119</v>
      </c>
      <c r="E199" s="252" t="str">
        <f>tab!K2</f>
        <v>2024/25</v>
      </c>
      <c r="W199" s="852"/>
    </row>
    <row r="200" spans="3:46" x14ac:dyDescent="0.2">
      <c r="C200" s="6" t="s">
        <v>120</v>
      </c>
      <c r="E200" s="252">
        <f>+tab!L3</f>
        <v>45566</v>
      </c>
      <c r="W200" s="852"/>
    </row>
    <row r="201" spans="3:46" s="7" customFormat="1" x14ac:dyDescent="0.2">
      <c r="D201" s="272"/>
      <c r="E201" s="272"/>
      <c r="F201" s="272"/>
      <c r="G201" s="273"/>
      <c r="H201" s="274"/>
      <c r="I201" s="275"/>
      <c r="J201" s="275"/>
      <c r="K201" s="277"/>
      <c r="L201" s="1088"/>
      <c r="M201" s="282"/>
      <c r="O201" s="283"/>
      <c r="T201" s="225"/>
      <c r="U201" s="284"/>
      <c r="W201" s="1147"/>
      <c r="AC201" s="273"/>
      <c r="AD201" s="281"/>
      <c r="AL201" s="273"/>
      <c r="AM201" s="281"/>
      <c r="AT201" s="6"/>
    </row>
    <row r="202" spans="3:46" ht="12.75" customHeight="1" x14ac:dyDescent="0.2">
      <c r="C202" s="34"/>
      <c r="D202" s="183"/>
      <c r="E202" s="92"/>
      <c r="F202" s="183"/>
      <c r="G202" s="182"/>
      <c r="H202" s="189"/>
      <c r="I202" s="348"/>
      <c r="J202" s="348"/>
      <c r="K202" s="349"/>
      <c r="L202" s="1083"/>
      <c r="M202" s="350"/>
      <c r="N202" s="34"/>
      <c r="O202" s="351"/>
      <c r="P202" s="34"/>
      <c r="Q202" s="34"/>
      <c r="R202" s="34"/>
      <c r="S202" s="34"/>
      <c r="T202" s="352"/>
      <c r="U202" s="353"/>
      <c r="V202" s="34"/>
      <c r="W202" s="852"/>
      <c r="X202" s="852"/>
      <c r="AC202" s="1097"/>
      <c r="AD202" s="1098"/>
      <c r="AE202" s="1097"/>
      <c r="AF202" s="1097"/>
      <c r="AG202" s="1097"/>
      <c r="AH202" s="1099"/>
      <c r="AI202" s="1100"/>
      <c r="AJ202" s="1101"/>
      <c r="AK202" s="1102"/>
      <c r="AL202" s="1103"/>
      <c r="AM202" s="255"/>
      <c r="AT202" s="7"/>
    </row>
    <row r="203" spans="3:46" s="385" customFormat="1" ht="12.75" customHeight="1" x14ac:dyDescent="0.2">
      <c r="C203" s="1076"/>
      <c r="D203" s="1070" t="s">
        <v>121</v>
      </c>
      <c r="E203" s="1071"/>
      <c r="F203" s="1071"/>
      <c r="G203" s="1071"/>
      <c r="H203" s="1071"/>
      <c r="I203" s="1071"/>
      <c r="J203" s="1071"/>
      <c r="K203" s="1071"/>
      <c r="L203" s="1089"/>
      <c r="M203" s="1112" t="s">
        <v>649</v>
      </c>
      <c r="N203" s="1113"/>
      <c r="O203" s="1114"/>
      <c r="P203" s="1114"/>
      <c r="Q203" s="1113"/>
      <c r="R203" s="1115" t="s">
        <v>650</v>
      </c>
      <c r="S203" s="1116"/>
      <c r="T203" s="1116"/>
      <c r="U203" s="1116"/>
      <c r="V203" s="1117"/>
      <c r="W203" s="1145"/>
      <c r="X203" s="1119"/>
      <c r="Y203" s="1120"/>
      <c r="Z203" s="1121"/>
      <c r="AA203" s="1121"/>
      <c r="AB203" s="1122"/>
      <c r="AC203" s="1123"/>
      <c r="AD203" s="1124"/>
      <c r="AE203" s="1123"/>
      <c r="AF203" s="1125"/>
      <c r="AG203" s="1125"/>
      <c r="AH203" s="1126"/>
      <c r="AI203" s="1127"/>
      <c r="AJ203" s="1126"/>
      <c r="AK203" s="1128"/>
      <c r="AL203" s="1128"/>
      <c r="AN203" s="264"/>
      <c r="AO203" s="264"/>
    </row>
    <row r="204" spans="3:46" ht="12.75" customHeight="1" x14ac:dyDescent="0.2">
      <c r="C204" s="354"/>
      <c r="D204" s="369" t="s">
        <v>122</v>
      </c>
      <c r="E204" s="369" t="s">
        <v>123</v>
      </c>
      <c r="F204" s="369" t="s">
        <v>124</v>
      </c>
      <c r="G204" s="370" t="s">
        <v>125</v>
      </c>
      <c r="H204" s="371" t="s">
        <v>126</v>
      </c>
      <c r="I204" s="370" t="s">
        <v>91</v>
      </c>
      <c r="J204" s="370" t="s">
        <v>127</v>
      </c>
      <c r="K204" s="372" t="s">
        <v>128</v>
      </c>
      <c r="L204" s="1084"/>
      <c r="M204" s="1129" t="s">
        <v>651</v>
      </c>
      <c r="N204" s="1130" t="s">
        <v>652</v>
      </c>
      <c r="O204" s="1131" t="s">
        <v>653</v>
      </c>
      <c r="P204" s="1132" t="s">
        <v>654</v>
      </c>
      <c r="Q204" s="1130" t="s">
        <v>655</v>
      </c>
      <c r="R204" s="1131" t="s">
        <v>129</v>
      </c>
      <c r="S204" s="1129" t="s">
        <v>656</v>
      </c>
      <c r="T204" s="1129" t="s">
        <v>657</v>
      </c>
      <c r="U204" s="1129" t="s">
        <v>129</v>
      </c>
      <c r="V204" s="1133"/>
      <c r="W204" s="1146"/>
      <c r="X204" s="1135"/>
      <c r="Y204" s="1136"/>
      <c r="Z204" s="1137"/>
      <c r="AA204" s="1137"/>
      <c r="AB204" s="1141" t="s">
        <v>253</v>
      </c>
      <c r="AC204" s="1142" t="s">
        <v>658</v>
      </c>
      <c r="AD204" s="1143" t="s">
        <v>659</v>
      </c>
      <c r="AE204" s="1143" t="s">
        <v>659</v>
      </c>
      <c r="AF204" s="1143" t="s">
        <v>660</v>
      </c>
      <c r="AG204" s="1143" t="s">
        <v>655</v>
      </c>
      <c r="AH204" s="1143" t="s">
        <v>661</v>
      </c>
      <c r="AI204" s="1143" t="s">
        <v>662</v>
      </c>
      <c r="AJ204" s="1143" t="s">
        <v>663</v>
      </c>
      <c r="AK204" s="1143" t="s">
        <v>131</v>
      </c>
      <c r="AL204" s="1006" t="s">
        <v>266</v>
      </c>
      <c r="AM204" s="6"/>
      <c r="AN204" s="264"/>
      <c r="AO204" s="263"/>
    </row>
    <row r="205" spans="3:46" ht="12.75" customHeight="1" x14ac:dyDescent="0.2">
      <c r="C205" s="354"/>
      <c r="D205" s="374"/>
      <c r="E205" s="369"/>
      <c r="F205" s="375"/>
      <c r="G205" s="370" t="s">
        <v>133</v>
      </c>
      <c r="H205" s="371" t="s">
        <v>134</v>
      </c>
      <c r="I205" s="370"/>
      <c r="J205" s="370"/>
      <c r="K205" s="372"/>
      <c r="L205" s="1084"/>
      <c r="M205" s="1138" t="s">
        <v>664</v>
      </c>
      <c r="N205" s="1130" t="s">
        <v>665</v>
      </c>
      <c r="O205" s="1131" t="s">
        <v>666</v>
      </c>
      <c r="P205" s="1132" t="s">
        <v>71</v>
      </c>
      <c r="Q205" s="1130" t="s">
        <v>667</v>
      </c>
      <c r="R205" s="1131" t="s">
        <v>668</v>
      </c>
      <c r="S205" s="1139" t="s">
        <v>669</v>
      </c>
      <c r="T205" s="1139" t="s">
        <v>670</v>
      </c>
      <c r="U205" s="1129" t="s">
        <v>71</v>
      </c>
      <c r="V205" s="1133"/>
      <c r="W205" s="1146"/>
      <c r="X205" s="1135"/>
      <c r="Y205" s="1140"/>
      <c r="Z205" s="1137"/>
      <c r="AA205" s="1137"/>
      <c r="AB205" s="1143" t="s">
        <v>671</v>
      </c>
      <c r="AC205" s="1144">
        <f>tab!$E$69</f>
        <v>0.54</v>
      </c>
      <c r="AD205" s="1143" t="s">
        <v>672</v>
      </c>
      <c r="AE205" s="1143" t="s">
        <v>673</v>
      </c>
      <c r="AF205" s="1143" t="s">
        <v>674</v>
      </c>
      <c r="AG205" s="1143" t="s">
        <v>667</v>
      </c>
      <c r="AH205" s="1143" t="s">
        <v>675</v>
      </c>
      <c r="AI205" s="1143" t="s">
        <v>675</v>
      </c>
      <c r="AJ205" s="1143" t="s">
        <v>676</v>
      </c>
      <c r="AK205" s="1143"/>
      <c r="AL205" s="1143" t="s">
        <v>130</v>
      </c>
      <c r="AM205" s="6"/>
      <c r="AO205" s="265"/>
    </row>
    <row r="206" spans="3:46" ht="12.75" customHeight="1" x14ac:dyDescent="0.2">
      <c r="C206" s="34"/>
      <c r="D206" s="183"/>
      <c r="E206" s="183"/>
      <c r="F206" s="183"/>
      <c r="G206" s="182"/>
      <c r="H206" s="189"/>
      <c r="I206" s="355"/>
      <c r="J206" s="355"/>
      <c r="K206" s="356"/>
      <c r="L206" s="1085"/>
      <c r="M206" s="356"/>
      <c r="N206" s="357"/>
      <c r="O206" s="358"/>
      <c r="P206" s="359"/>
      <c r="Q206" s="359"/>
      <c r="R206" s="359"/>
      <c r="S206" s="359"/>
      <c r="T206" s="360"/>
      <c r="U206" s="361"/>
      <c r="V206" s="357"/>
      <c r="W206" s="852"/>
      <c r="AC206" s="6"/>
      <c r="AD206" s="6"/>
      <c r="AL206" s="6"/>
      <c r="AM206" s="6"/>
      <c r="AO206" s="265"/>
    </row>
    <row r="207" spans="3:46" ht="12.75" customHeight="1" x14ac:dyDescent="0.2">
      <c r="C207" s="34"/>
      <c r="D207" s="798" t="str">
        <f t="shared" ref="D207:F226" si="137">IF(D175=0,"",D175)</f>
        <v/>
      </c>
      <c r="E207" s="798" t="str">
        <f t="shared" si="137"/>
        <v>piet</v>
      </c>
      <c r="F207" s="798" t="str">
        <f t="shared" si="137"/>
        <v>chef</v>
      </c>
      <c r="G207" s="799">
        <f t="shared" ref="G207:G226" si="138">IF(G175="","",G175+1)</f>
        <v>28</v>
      </c>
      <c r="H207" s="800">
        <f t="shared" ref="H207:I226" si="139">IF(H175=0,"",H175)</f>
        <v>25600</v>
      </c>
      <c r="I207" s="801" t="str">
        <f t="shared" si="139"/>
        <v>LD</v>
      </c>
      <c r="J207" s="799">
        <f t="shared" ref="J207:J226" si="140">IF(E207="","",IF(J175&lt;VLOOKUP(I207,salmrt2020,18,FALSE),J175+1,J175))</f>
        <v>12</v>
      </c>
      <c r="K207" s="802">
        <f t="shared" ref="K207:K226" si="141">IF(K175="","",K175)</f>
        <v>1</v>
      </c>
      <c r="L207" s="1086"/>
      <c r="M207" s="789">
        <v>0</v>
      </c>
      <c r="N207" s="1215">
        <v>0</v>
      </c>
      <c r="O207" s="1216">
        <f>IF(K207="","",K207*50)</f>
        <v>50</v>
      </c>
      <c r="P207" s="1096">
        <f>SUM(M207:O207)</f>
        <v>50</v>
      </c>
      <c r="Q207" s="1095">
        <v>0</v>
      </c>
      <c r="R207" s="378">
        <f>IF(K207="","",(1659*K207-P207)*AE207)</f>
        <v>102143.39341772153</v>
      </c>
      <c r="S207" s="378">
        <f>IF(K207="","",P207*AF207+AD207*(AH207+AI207*(1-AJ207)))</f>
        <v>3174.1265822784812</v>
      </c>
      <c r="T207" s="379">
        <f>ROUND(IF(K207="",0,+Q207/1659*(AB207*12*(1+tab!$G$79+tab!$G$80)-tab!$G$78)*tab!$G$76),-1)</f>
        <v>0</v>
      </c>
      <c r="U207" s="1111">
        <f>IF(K207="","",IF(E207=0,0,(R207+S207+T207)))</f>
        <v>105317.52</v>
      </c>
      <c r="V207" s="362"/>
      <c r="W207" s="852"/>
      <c r="AB207" s="1105">
        <f t="shared" ref="AB207:AB226" si="142">IF(I207="","",VLOOKUP(I207,salaug2020,J207+1,FALSE))</f>
        <v>5699</v>
      </c>
      <c r="AC207" s="1144">
        <f>AC$205</f>
        <v>0.54</v>
      </c>
      <c r="AD207" s="1104">
        <f>AB207*12/1659</f>
        <v>41.22242314647378</v>
      </c>
      <c r="AE207" s="1104">
        <f>AB207*12*(1+AC207)/1659</f>
        <v>63.482531645569622</v>
      </c>
      <c r="AF207" s="1104">
        <f>+AE207-AD207</f>
        <v>22.260108499095843</v>
      </c>
      <c r="AG207" s="14">
        <f>Q207</f>
        <v>0</v>
      </c>
      <c r="AH207" s="1106">
        <f>O207</f>
        <v>50</v>
      </c>
      <c r="AI207" s="14">
        <f>(M207+N207)</f>
        <v>0</v>
      </c>
      <c r="AJ207" s="1107">
        <f>IF(I207&gt;8,50%,40%)</f>
        <v>0.5</v>
      </c>
      <c r="AK207" s="6">
        <f>IF(G207&lt;25,0,IF(G207=25,25,IF(G207&lt;40,0,IF(G207=40,40,IF(G207&gt;=40,0)))))</f>
        <v>0</v>
      </c>
      <c r="AL207" s="1108">
        <f>IF(AK207=25,AB207*1.08*K207/2,IF(AK207=40,AB207*1.08*K207,0))</f>
        <v>0</v>
      </c>
    </row>
    <row r="208" spans="3:46" ht="12.75" customHeight="1" x14ac:dyDescent="0.2">
      <c r="C208" s="34"/>
      <c r="D208" s="798" t="str">
        <f t="shared" si="137"/>
        <v/>
      </c>
      <c r="E208" s="798" t="str">
        <f t="shared" si="137"/>
        <v/>
      </c>
      <c r="F208" s="798" t="str">
        <f t="shared" si="137"/>
        <v/>
      </c>
      <c r="G208" s="799" t="str">
        <f t="shared" si="138"/>
        <v/>
      </c>
      <c r="H208" s="800" t="str">
        <f t="shared" si="139"/>
        <v/>
      </c>
      <c r="I208" s="801" t="str">
        <f t="shared" si="139"/>
        <v/>
      </c>
      <c r="J208" s="799" t="str">
        <f t="shared" si="140"/>
        <v/>
      </c>
      <c r="K208" s="802" t="str">
        <f t="shared" si="141"/>
        <v/>
      </c>
      <c r="L208" s="1086"/>
      <c r="M208" s="789">
        <v>0</v>
      </c>
      <c r="N208" s="1215">
        <v>0</v>
      </c>
      <c r="O208" s="1216" t="str">
        <f t="shared" ref="O208:O226" si="143">IF(K208="","",K208*50)</f>
        <v/>
      </c>
      <c r="P208" s="1096">
        <f t="shared" ref="P208:P226" si="144">SUM(M208:O208)</f>
        <v>0</v>
      </c>
      <c r="Q208" s="1095">
        <v>0</v>
      </c>
      <c r="R208" s="378" t="str">
        <f t="shared" ref="R208:R226" si="145">IF(K208="","",(1659*K208-P208)*AE208)</f>
        <v/>
      </c>
      <c r="S208" s="378" t="str">
        <f t="shared" ref="S208:S226" si="146">IF(K208="","",P208*AF208+AD208*(AH208+AI208*(1-AJ208)))</f>
        <v/>
      </c>
      <c r="T208" s="379">
        <f>ROUND(IF(K208="",0,+Q208/1659*(AB208*12*(1+tab!$G$79+tab!$G$80)-tab!$G$78)*tab!$G$76),-1)</f>
        <v>0</v>
      </c>
      <c r="U208" s="1111" t="str">
        <f t="shared" ref="U208:U226" si="147">IF(K208="","",IF(E208=0,0,(R208+S208+T208)))</f>
        <v/>
      </c>
      <c r="V208" s="362"/>
      <c r="W208" s="852"/>
      <c r="AB208" s="1105" t="str">
        <f t="shared" si="142"/>
        <v/>
      </c>
      <c r="AC208" s="1144">
        <f t="shared" ref="AC208:AC226" si="148">AC$205</f>
        <v>0.54</v>
      </c>
      <c r="AD208" s="1104" t="e">
        <f t="shared" ref="AD208:AD226" si="149">AB208*12/1659</f>
        <v>#VALUE!</v>
      </c>
      <c r="AE208" s="1104" t="e">
        <f t="shared" ref="AE208:AE226" si="150">AB208*12*(1+AC208)/1659</f>
        <v>#VALUE!</v>
      </c>
      <c r="AF208" s="1104" t="e">
        <f t="shared" ref="AF208:AF226" si="151">+AE208-AD208</f>
        <v>#VALUE!</v>
      </c>
      <c r="AG208" s="14">
        <f t="shared" ref="AG208:AG226" si="152">Q208</f>
        <v>0</v>
      </c>
      <c r="AH208" s="1106" t="str">
        <f t="shared" ref="AH208:AH226" si="153">O208</f>
        <v/>
      </c>
      <c r="AI208" s="14">
        <f t="shared" ref="AI208:AI226" si="154">(M208+N208)</f>
        <v>0</v>
      </c>
      <c r="AJ208" s="1107">
        <f t="shared" ref="AJ208:AJ226" si="155">IF(I208&gt;8,50%,40%)</f>
        <v>0.5</v>
      </c>
      <c r="AK208" s="6">
        <f t="shared" ref="AK208:AK226" si="156">IF(G208&lt;25,0,IF(G208=25,25,IF(G208&lt;40,0,IF(G208=40,40,IF(G208&gt;=40,0)))))</f>
        <v>0</v>
      </c>
      <c r="AL208" s="1108">
        <f t="shared" ref="AL208:AL226" si="157">IF(AK208=25,AB208*1.08*K208/2,IF(AK208=40,AB208*1.08*K208,0))</f>
        <v>0</v>
      </c>
    </row>
    <row r="209" spans="3:38" ht="12.75" customHeight="1" x14ac:dyDescent="0.2">
      <c r="C209" s="34"/>
      <c r="D209" s="798" t="str">
        <f t="shared" si="137"/>
        <v/>
      </c>
      <c r="E209" s="803" t="str">
        <f t="shared" si="137"/>
        <v/>
      </c>
      <c r="F209" s="803" t="str">
        <f t="shared" si="137"/>
        <v/>
      </c>
      <c r="G209" s="801" t="str">
        <f t="shared" si="138"/>
        <v/>
      </c>
      <c r="H209" s="804" t="str">
        <f t="shared" si="139"/>
        <v/>
      </c>
      <c r="I209" s="801" t="str">
        <f t="shared" si="139"/>
        <v/>
      </c>
      <c r="J209" s="799" t="str">
        <f t="shared" si="140"/>
        <v/>
      </c>
      <c r="K209" s="805" t="str">
        <f t="shared" si="141"/>
        <v/>
      </c>
      <c r="L209" s="1087"/>
      <c r="M209" s="789">
        <v>0</v>
      </c>
      <c r="N209" s="1215">
        <v>0</v>
      </c>
      <c r="O209" s="1216" t="str">
        <f t="shared" si="143"/>
        <v/>
      </c>
      <c r="P209" s="1096">
        <f t="shared" si="144"/>
        <v>0</v>
      </c>
      <c r="Q209" s="1095">
        <v>0</v>
      </c>
      <c r="R209" s="378" t="str">
        <f t="shared" si="145"/>
        <v/>
      </c>
      <c r="S209" s="378" t="str">
        <f t="shared" si="146"/>
        <v/>
      </c>
      <c r="T209" s="379">
        <f>ROUND(IF(K209="",0,+Q209/1659*(AB209*12*(1+tab!$G$79+tab!$G$80)-tab!$G$78)*tab!$G$76),-1)</f>
        <v>0</v>
      </c>
      <c r="U209" s="1111" t="str">
        <f t="shared" si="147"/>
        <v/>
      </c>
      <c r="V209" s="362"/>
      <c r="W209" s="852"/>
      <c r="AB209" s="1105" t="str">
        <f t="shared" si="142"/>
        <v/>
      </c>
      <c r="AC209" s="1144">
        <f t="shared" si="148"/>
        <v>0.54</v>
      </c>
      <c r="AD209" s="1104" t="e">
        <f t="shared" si="149"/>
        <v>#VALUE!</v>
      </c>
      <c r="AE209" s="1104" t="e">
        <f t="shared" si="150"/>
        <v>#VALUE!</v>
      </c>
      <c r="AF209" s="1104" t="e">
        <f t="shared" si="151"/>
        <v>#VALUE!</v>
      </c>
      <c r="AG209" s="14">
        <f t="shared" si="152"/>
        <v>0</v>
      </c>
      <c r="AH209" s="1106" t="str">
        <f t="shared" si="153"/>
        <v/>
      </c>
      <c r="AI209" s="14">
        <f t="shared" si="154"/>
        <v>0</v>
      </c>
      <c r="AJ209" s="1107">
        <f t="shared" si="155"/>
        <v>0.5</v>
      </c>
      <c r="AK209" s="6">
        <f t="shared" si="156"/>
        <v>0</v>
      </c>
      <c r="AL209" s="1108">
        <f t="shared" si="157"/>
        <v>0</v>
      </c>
    </row>
    <row r="210" spans="3:38" ht="12.75" customHeight="1" x14ac:dyDescent="0.2">
      <c r="C210" s="34"/>
      <c r="D210" s="798" t="str">
        <f t="shared" si="137"/>
        <v/>
      </c>
      <c r="E210" s="798" t="str">
        <f t="shared" si="137"/>
        <v/>
      </c>
      <c r="F210" s="798" t="str">
        <f t="shared" si="137"/>
        <v/>
      </c>
      <c r="G210" s="799" t="str">
        <f t="shared" si="138"/>
        <v/>
      </c>
      <c r="H210" s="800" t="str">
        <f t="shared" si="139"/>
        <v/>
      </c>
      <c r="I210" s="801" t="str">
        <f t="shared" si="139"/>
        <v/>
      </c>
      <c r="J210" s="799" t="str">
        <f t="shared" si="140"/>
        <v/>
      </c>
      <c r="K210" s="802" t="str">
        <f t="shared" si="141"/>
        <v/>
      </c>
      <c r="L210" s="1086"/>
      <c r="M210" s="789">
        <v>0</v>
      </c>
      <c r="N210" s="1215">
        <v>0</v>
      </c>
      <c r="O210" s="1216" t="str">
        <f t="shared" si="143"/>
        <v/>
      </c>
      <c r="P210" s="1096">
        <f t="shared" si="144"/>
        <v>0</v>
      </c>
      <c r="Q210" s="1095">
        <v>0</v>
      </c>
      <c r="R210" s="378" t="str">
        <f t="shared" si="145"/>
        <v/>
      </c>
      <c r="S210" s="378" t="str">
        <f t="shared" si="146"/>
        <v/>
      </c>
      <c r="T210" s="379">
        <f>ROUND(IF(K210="",0,+Q210/1659*(AB210*12*(1+tab!$G$79+tab!$G$80)-tab!$G$78)*tab!$G$76),-1)</f>
        <v>0</v>
      </c>
      <c r="U210" s="1111" t="str">
        <f t="shared" si="147"/>
        <v/>
      </c>
      <c r="V210" s="362"/>
      <c r="W210" s="852"/>
      <c r="AB210" s="1105" t="str">
        <f t="shared" si="142"/>
        <v/>
      </c>
      <c r="AC210" s="1144">
        <f t="shared" si="148"/>
        <v>0.54</v>
      </c>
      <c r="AD210" s="1104" t="e">
        <f t="shared" si="149"/>
        <v>#VALUE!</v>
      </c>
      <c r="AE210" s="1104" t="e">
        <f t="shared" si="150"/>
        <v>#VALUE!</v>
      </c>
      <c r="AF210" s="1104" t="e">
        <f t="shared" si="151"/>
        <v>#VALUE!</v>
      </c>
      <c r="AG210" s="14">
        <f t="shared" si="152"/>
        <v>0</v>
      </c>
      <c r="AH210" s="1106" t="str">
        <f t="shared" si="153"/>
        <v/>
      </c>
      <c r="AI210" s="14">
        <f t="shared" si="154"/>
        <v>0</v>
      </c>
      <c r="AJ210" s="1107">
        <f t="shared" si="155"/>
        <v>0.5</v>
      </c>
      <c r="AK210" s="6">
        <f t="shared" si="156"/>
        <v>0</v>
      </c>
      <c r="AL210" s="1108">
        <f t="shared" si="157"/>
        <v>0</v>
      </c>
    </row>
    <row r="211" spans="3:38" ht="12.75" customHeight="1" x14ac:dyDescent="0.2">
      <c r="C211" s="34"/>
      <c r="D211" s="798" t="str">
        <f t="shared" si="137"/>
        <v/>
      </c>
      <c r="E211" s="798" t="str">
        <f t="shared" si="137"/>
        <v/>
      </c>
      <c r="F211" s="798" t="str">
        <f t="shared" si="137"/>
        <v/>
      </c>
      <c r="G211" s="799" t="str">
        <f t="shared" si="138"/>
        <v/>
      </c>
      <c r="H211" s="800" t="str">
        <f t="shared" si="139"/>
        <v/>
      </c>
      <c r="I211" s="801" t="str">
        <f t="shared" si="139"/>
        <v/>
      </c>
      <c r="J211" s="799" t="str">
        <f t="shared" si="140"/>
        <v/>
      </c>
      <c r="K211" s="802" t="str">
        <f t="shared" si="141"/>
        <v/>
      </c>
      <c r="L211" s="1086"/>
      <c r="M211" s="789">
        <v>0</v>
      </c>
      <c r="N211" s="1215">
        <v>0</v>
      </c>
      <c r="O211" s="1216" t="str">
        <f t="shared" si="143"/>
        <v/>
      </c>
      <c r="P211" s="1096">
        <f t="shared" si="144"/>
        <v>0</v>
      </c>
      <c r="Q211" s="1095">
        <v>0</v>
      </c>
      <c r="R211" s="378" t="str">
        <f t="shared" si="145"/>
        <v/>
      </c>
      <c r="S211" s="378" t="str">
        <f t="shared" si="146"/>
        <v/>
      </c>
      <c r="T211" s="379">
        <f>ROUND(IF(K211="",0,+Q211/1659*(AB211*12*(1+tab!$G$79+tab!$G$80)-tab!$G$78)*tab!$G$76),-1)</f>
        <v>0</v>
      </c>
      <c r="U211" s="1111" t="str">
        <f t="shared" si="147"/>
        <v/>
      </c>
      <c r="V211" s="362"/>
      <c r="W211" s="852"/>
      <c r="AB211" s="1105" t="str">
        <f t="shared" si="142"/>
        <v/>
      </c>
      <c r="AC211" s="1144">
        <f t="shared" si="148"/>
        <v>0.54</v>
      </c>
      <c r="AD211" s="1104" t="e">
        <f t="shared" si="149"/>
        <v>#VALUE!</v>
      </c>
      <c r="AE211" s="1104" t="e">
        <f t="shared" si="150"/>
        <v>#VALUE!</v>
      </c>
      <c r="AF211" s="1104" t="e">
        <f t="shared" si="151"/>
        <v>#VALUE!</v>
      </c>
      <c r="AG211" s="14">
        <f t="shared" si="152"/>
        <v>0</v>
      </c>
      <c r="AH211" s="1106" t="str">
        <f t="shared" si="153"/>
        <v/>
      </c>
      <c r="AI211" s="14">
        <f t="shared" si="154"/>
        <v>0</v>
      </c>
      <c r="AJ211" s="1107">
        <f t="shared" si="155"/>
        <v>0.5</v>
      </c>
      <c r="AK211" s="6">
        <f t="shared" si="156"/>
        <v>0</v>
      </c>
      <c r="AL211" s="1108">
        <f t="shared" si="157"/>
        <v>0</v>
      </c>
    </row>
    <row r="212" spans="3:38" ht="12.75" customHeight="1" x14ac:dyDescent="0.2">
      <c r="C212" s="34"/>
      <c r="D212" s="798" t="str">
        <f t="shared" si="137"/>
        <v/>
      </c>
      <c r="E212" s="798" t="str">
        <f t="shared" si="137"/>
        <v/>
      </c>
      <c r="F212" s="798" t="str">
        <f t="shared" si="137"/>
        <v/>
      </c>
      <c r="G212" s="799" t="str">
        <f t="shared" si="138"/>
        <v/>
      </c>
      <c r="H212" s="800" t="str">
        <f t="shared" si="139"/>
        <v/>
      </c>
      <c r="I212" s="801" t="str">
        <f t="shared" si="139"/>
        <v/>
      </c>
      <c r="J212" s="799" t="str">
        <f t="shared" si="140"/>
        <v/>
      </c>
      <c r="K212" s="802" t="str">
        <f t="shared" si="141"/>
        <v/>
      </c>
      <c r="L212" s="1086"/>
      <c r="M212" s="789">
        <v>0</v>
      </c>
      <c r="N212" s="1215">
        <v>0</v>
      </c>
      <c r="O212" s="1216" t="str">
        <f t="shared" si="143"/>
        <v/>
      </c>
      <c r="P212" s="1096">
        <f t="shared" si="144"/>
        <v>0</v>
      </c>
      <c r="Q212" s="1095">
        <v>0</v>
      </c>
      <c r="R212" s="378" t="str">
        <f t="shared" si="145"/>
        <v/>
      </c>
      <c r="S212" s="378" t="str">
        <f t="shared" si="146"/>
        <v/>
      </c>
      <c r="T212" s="379">
        <f>ROUND(IF(K212="",0,+Q212/1659*(AB212*12*(1+tab!$G$79+tab!$G$80)-tab!$G$78)*tab!$G$76),-1)</f>
        <v>0</v>
      </c>
      <c r="U212" s="1111" t="str">
        <f t="shared" si="147"/>
        <v/>
      </c>
      <c r="V212" s="362"/>
      <c r="W212" s="852"/>
      <c r="AB212" s="1105" t="str">
        <f t="shared" si="142"/>
        <v/>
      </c>
      <c r="AC212" s="1144">
        <f t="shared" si="148"/>
        <v>0.54</v>
      </c>
      <c r="AD212" s="1104" t="e">
        <f t="shared" si="149"/>
        <v>#VALUE!</v>
      </c>
      <c r="AE212" s="1104" t="e">
        <f t="shared" si="150"/>
        <v>#VALUE!</v>
      </c>
      <c r="AF212" s="1104" t="e">
        <f t="shared" si="151"/>
        <v>#VALUE!</v>
      </c>
      <c r="AG212" s="14">
        <f t="shared" si="152"/>
        <v>0</v>
      </c>
      <c r="AH212" s="1106" t="str">
        <f t="shared" si="153"/>
        <v/>
      </c>
      <c r="AI212" s="14">
        <f t="shared" si="154"/>
        <v>0</v>
      </c>
      <c r="AJ212" s="1107">
        <f t="shared" si="155"/>
        <v>0.5</v>
      </c>
      <c r="AK212" s="6">
        <f t="shared" si="156"/>
        <v>0</v>
      </c>
      <c r="AL212" s="1108">
        <f t="shared" si="157"/>
        <v>0</v>
      </c>
    </row>
    <row r="213" spans="3:38" ht="12.75" customHeight="1" x14ac:dyDescent="0.2">
      <c r="C213" s="34"/>
      <c r="D213" s="798" t="str">
        <f t="shared" si="137"/>
        <v/>
      </c>
      <c r="E213" s="798" t="str">
        <f t="shared" si="137"/>
        <v/>
      </c>
      <c r="F213" s="798" t="str">
        <f t="shared" si="137"/>
        <v/>
      </c>
      <c r="G213" s="799" t="str">
        <f t="shared" si="138"/>
        <v/>
      </c>
      <c r="H213" s="800" t="str">
        <f t="shared" si="139"/>
        <v/>
      </c>
      <c r="I213" s="801" t="str">
        <f t="shared" si="139"/>
        <v/>
      </c>
      <c r="J213" s="799" t="str">
        <f t="shared" si="140"/>
        <v/>
      </c>
      <c r="K213" s="802" t="str">
        <f t="shared" si="141"/>
        <v/>
      </c>
      <c r="L213" s="1086"/>
      <c r="M213" s="789">
        <v>0</v>
      </c>
      <c r="N213" s="1215">
        <v>0</v>
      </c>
      <c r="O213" s="1216" t="str">
        <f t="shared" si="143"/>
        <v/>
      </c>
      <c r="P213" s="1096">
        <f t="shared" si="144"/>
        <v>0</v>
      </c>
      <c r="Q213" s="1095">
        <v>0</v>
      </c>
      <c r="R213" s="378" t="str">
        <f t="shared" si="145"/>
        <v/>
      </c>
      <c r="S213" s="378" t="str">
        <f t="shared" si="146"/>
        <v/>
      </c>
      <c r="T213" s="379">
        <f>ROUND(IF(K213="",0,+Q213/1659*(AB213*12*(1+tab!$G$79+tab!$G$80)-tab!$G$78)*tab!$G$76),-1)</f>
        <v>0</v>
      </c>
      <c r="U213" s="1111" t="str">
        <f t="shared" si="147"/>
        <v/>
      </c>
      <c r="V213" s="362"/>
      <c r="W213" s="852"/>
      <c r="AB213" s="1105" t="str">
        <f t="shared" si="142"/>
        <v/>
      </c>
      <c r="AC213" s="1144">
        <f t="shared" si="148"/>
        <v>0.54</v>
      </c>
      <c r="AD213" s="1104" t="e">
        <f t="shared" si="149"/>
        <v>#VALUE!</v>
      </c>
      <c r="AE213" s="1104" t="e">
        <f t="shared" si="150"/>
        <v>#VALUE!</v>
      </c>
      <c r="AF213" s="1104" t="e">
        <f t="shared" si="151"/>
        <v>#VALUE!</v>
      </c>
      <c r="AG213" s="14">
        <f t="shared" si="152"/>
        <v>0</v>
      </c>
      <c r="AH213" s="1106" t="str">
        <f t="shared" si="153"/>
        <v/>
      </c>
      <c r="AI213" s="14">
        <f t="shared" si="154"/>
        <v>0</v>
      </c>
      <c r="AJ213" s="1107">
        <f t="shared" si="155"/>
        <v>0.5</v>
      </c>
      <c r="AK213" s="6">
        <f t="shared" si="156"/>
        <v>0</v>
      </c>
      <c r="AL213" s="1108">
        <f t="shared" si="157"/>
        <v>0</v>
      </c>
    </row>
    <row r="214" spans="3:38" ht="12.75" customHeight="1" x14ac:dyDescent="0.2">
      <c r="C214" s="34"/>
      <c r="D214" s="798" t="str">
        <f t="shared" si="137"/>
        <v/>
      </c>
      <c r="E214" s="798" t="str">
        <f t="shared" si="137"/>
        <v/>
      </c>
      <c r="F214" s="798" t="str">
        <f t="shared" si="137"/>
        <v/>
      </c>
      <c r="G214" s="799" t="str">
        <f t="shared" si="138"/>
        <v/>
      </c>
      <c r="H214" s="800" t="str">
        <f t="shared" si="139"/>
        <v/>
      </c>
      <c r="I214" s="801" t="str">
        <f t="shared" si="139"/>
        <v/>
      </c>
      <c r="J214" s="799" t="str">
        <f t="shared" si="140"/>
        <v/>
      </c>
      <c r="K214" s="802" t="str">
        <f t="shared" si="141"/>
        <v/>
      </c>
      <c r="L214" s="1086"/>
      <c r="M214" s="789">
        <v>0</v>
      </c>
      <c r="N214" s="1215">
        <v>0</v>
      </c>
      <c r="O214" s="1216" t="str">
        <f t="shared" si="143"/>
        <v/>
      </c>
      <c r="P214" s="1096">
        <f t="shared" si="144"/>
        <v>0</v>
      </c>
      <c r="Q214" s="1095">
        <v>0</v>
      </c>
      <c r="R214" s="378" t="str">
        <f t="shared" si="145"/>
        <v/>
      </c>
      <c r="S214" s="378" t="str">
        <f t="shared" si="146"/>
        <v/>
      </c>
      <c r="T214" s="379">
        <f>ROUND(IF(K214="",0,+Q214/1659*(AB214*12*(1+tab!$G$79+tab!$G$80)-tab!$G$78)*tab!$G$76),-1)</f>
        <v>0</v>
      </c>
      <c r="U214" s="1111" t="str">
        <f t="shared" si="147"/>
        <v/>
      </c>
      <c r="V214" s="362"/>
      <c r="W214" s="852"/>
      <c r="AB214" s="1105" t="str">
        <f t="shared" si="142"/>
        <v/>
      </c>
      <c r="AC214" s="1144">
        <f t="shared" si="148"/>
        <v>0.54</v>
      </c>
      <c r="AD214" s="1104" t="e">
        <f t="shared" si="149"/>
        <v>#VALUE!</v>
      </c>
      <c r="AE214" s="1104" t="e">
        <f t="shared" si="150"/>
        <v>#VALUE!</v>
      </c>
      <c r="AF214" s="1104" t="e">
        <f t="shared" si="151"/>
        <v>#VALUE!</v>
      </c>
      <c r="AG214" s="14">
        <f t="shared" si="152"/>
        <v>0</v>
      </c>
      <c r="AH214" s="1106" t="str">
        <f t="shared" si="153"/>
        <v/>
      </c>
      <c r="AI214" s="14">
        <f t="shared" si="154"/>
        <v>0</v>
      </c>
      <c r="AJ214" s="1107">
        <f t="shared" si="155"/>
        <v>0.5</v>
      </c>
      <c r="AK214" s="6">
        <f t="shared" si="156"/>
        <v>0</v>
      </c>
      <c r="AL214" s="1108">
        <f t="shared" si="157"/>
        <v>0</v>
      </c>
    </row>
    <row r="215" spans="3:38" ht="12.75" customHeight="1" x14ac:dyDescent="0.2">
      <c r="C215" s="34"/>
      <c r="D215" s="798" t="str">
        <f t="shared" si="137"/>
        <v/>
      </c>
      <c r="E215" s="798" t="str">
        <f t="shared" si="137"/>
        <v/>
      </c>
      <c r="F215" s="798" t="str">
        <f t="shared" si="137"/>
        <v/>
      </c>
      <c r="G215" s="799" t="str">
        <f t="shared" si="138"/>
        <v/>
      </c>
      <c r="H215" s="800" t="str">
        <f t="shared" si="139"/>
        <v/>
      </c>
      <c r="I215" s="801" t="str">
        <f t="shared" si="139"/>
        <v/>
      </c>
      <c r="J215" s="799" t="str">
        <f t="shared" si="140"/>
        <v/>
      </c>
      <c r="K215" s="802" t="str">
        <f t="shared" si="141"/>
        <v/>
      </c>
      <c r="L215" s="1086"/>
      <c r="M215" s="789">
        <v>0</v>
      </c>
      <c r="N215" s="1215">
        <v>0</v>
      </c>
      <c r="O215" s="1216" t="str">
        <f t="shared" si="143"/>
        <v/>
      </c>
      <c r="P215" s="1096">
        <f t="shared" si="144"/>
        <v>0</v>
      </c>
      <c r="Q215" s="1095">
        <v>0</v>
      </c>
      <c r="R215" s="378" t="str">
        <f t="shared" si="145"/>
        <v/>
      </c>
      <c r="S215" s="378" t="str">
        <f t="shared" si="146"/>
        <v/>
      </c>
      <c r="T215" s="379">
        <f>ROUND(IF(K215="",0,+Q215/1659*(AB215*12*(1+tab!$G$79+tab!$G$80)-tab!$G$78)*tab!$G$76),-1)</f>
        <v>0</v>
      </c>
      <c r="U215" s="1111" t="str">
        <f t="shared" si="147"/>
        <v/>
      </c>
      <c r="V215" s="362"/>
      <c r="W215" s="852"/>
      <c r="AB215" s="1105" t="str">
        <f t="shared" si="142"/>
        <v/>
      </c>
      <c r="AC215" s="1144">
        <f t="shared" si="148"/>
        <v>0.54</v>
      </c>
      <c r="AD215" s="1104" t="e">
        <f t="shared" si="149"/>
        <v>#VALUE!</v>
      </c>
      <c r="AE215" s="1104" t="e">
        <f t="shared" si="150"/>
        <v>#VALUE!</v>
      </c>
      <c r="AF215" s="1104" t="e">
        <f t="shared" si="151"/>
        <v>#VALUE!</v>
      </c>
      <c r="AG215" s="14">
        <f t="shared" si="152"/>
        <v>0</v>
      </c>
      <c r="AH215" s="1106" t="str">
        <f t="shared" si="153"/>
        <v/>
      </c>
      <c r="AI215" s="14">
        <f t="shared" si="154"/>
        <v>0</v>
      </c>
      <c r="AJ215" s="1107">
        <f t="shared" si="155"/>
        <v>0.5</v>
      </c>
      <c r="AK215" s="6">
        <f t="shared" si="156"/>
        <v>0</v>
      </c>
      <c r="AL215" s="1108">
        <f t="shared" si="157"/>
        <v>0</v>
      </c>
    </row>
    <row r="216" spans="3:38" ht="12.75" customHeight="1" x14ac:dyDescent="0.2">
      <c r="C216" s="34"/>
      <c r="D216" s="798" t="str">
        <f t="shared" si="137"/>
        <v/>
      </c>
      <c r="E216" s="798" t="str">
        <f t="shared" si="137"/>
        <v/>
      </c>
      <c r="F216" s="798" t="str">
        <f t="shared" si="137"/>
        <v/>
      </c>
      <c r="G216" s="799" t="str">
        <f t="shared" si="138"/>
        <v/>
      </c>
      <c r="H216" s="800" t="str">
        <f t="shared" si="139"/>
        <v/>
      </c>
      <c r="I216" s="801" t="str">
        <f t="shared" si="139"/>
        <v/>
      </c>
      <c r="J216" s="799" t="str">
        <f t="shared" si="140"/>
        <v/>
      </c>
      <c r="K216" s="802" t="str">
        <f t="shared" si="141"/>
        <v/>
      </c>
      <c r="L216" s="1086"/>
      <c r="M216" s="789">
        <v>0</v>
      </c>
      <c r="N216" s="1215">
        <v>0</v>
      </c>
      <c r="O216" s="1216" t="str">
        <f t="shared" si="143"/>
        <v/>
      </c>
      <c r="P216" s="1096">
        <f t="shared" si="144"/>
        <v>0</v>
      </c>
      <c r="Q216" s="1095">
        <v>0</v>
      </c>
      <c r="R216" s="378" t="str">
        <f t="shared" si="145"/>
        <v/>
      </c>
      <c r="S216" s="378" t="str">
        <f t="shared" si="146"/>
        <v/>
      </c>
      <c r="T216" s="379">
        <f>ROUND(IF(K216="",0,+Q216/1659*(AB216*12*(1+tab!$G$79+tab!$G$80)-tab!$G$78)*tab!$G$76),-1)</f>
        <v>0</v>
      </c>
      <c r="U216" s="1111" t="str">
        <f t="shared" si="147"/>
        <v/>
      </c>
      <c r="V216" s="362"/>
      <c r="W216" s="852"/>
      <c r="AB216" s="1105" t="str">
        <f t="shared" si="142"/>
        <v/>
      </c>
      <c r="AC216" s="1144">
        <f t="shared" si="148"/>
        <v>0.54</v>
      </c>
      <c r="AD216" s="1104" t="e">
        <f t="shared" si="149"/>
        <v>#VALUE!</v>
      </c>
      <c r="AE216" s="1104" t="e">
        <f t="shared" si="150"/>
        <v>#VALUE!</v>
      </c>
      <c r="AF216" s="1104" t="e">
        <f t="shared" si="151"/>
        <v>#VALUE!</v>
      </c>
      <c r="AG216" s="14">
        <f t="shared" si="152"/>
        <v>0</v>
      </c>
      <c r="AH216" s="1106" t="str">
        <f t="shared" si="153"/>
        <v/>
      </c>
      <c r="AI216" s="14">
        <f t="shared" si="154"/>
        <v>0</v>
      </c>
      <c r="AJ216" s="1107">
        <f t="shared" si="155"/>
        <v>0.5</v>
      </c>
      <c r="AK216" s="6">
        <f t="shared" si="156"/>
        <v>0</v>
      </c>
      <c r="AL216" s="1108">
        <f t="shared" si="157"/>
        <v>0</v>
      </c>
    </row>
    <row r="217" spans="3:38" ht="12.75" customHeight="1" x14ac:dyDescent="0.2">
      <c r="C217" s="34"/>
      <c r="D217" s="798" t="str">
        <f t="shared" si="137"/>
        <v/>
      </c>
      <c r="E217" s="798" t="str">
        <f t="shared" si="137"/>
        <v/>
      </c>
      <c r="F217" s="798" t="str">
        <f t="shared" si="137"/>
        <v/>
      </c>
      <c r="G217" s="799" t="str">
        <f t="shared" si="138"/>
        <v/>
      </c>
      <c r="H217" s="800" t="str">
        <f t="shared" si="139"/>
        <v/>
      </c>
      <c r="I217" s="801" t="str">
        <f t="shared" si="139"/>
        <v/>
      </c>
      <c r="J217" s="799" t="str">
        <f t="shared" si="140"/>
        <v/>
      </c>
      <c r="K217" s="802" t="str">
        <f t="shared" si="141"/>
        <v/>
      </c>
      <c r="L217" s="1086"/>
      <c r="M217" s="789">
        <v>0</v>
      </c>
      <c r="N217" s="1215">
        <v>0</v>
      </c>
      <c r="O217" s="1216" t="str">
        <f t="shared" si="143"/>
        <v/>
      </c>
      <c r="P217" s="1096">
        <f t="shared" si="144"/>
        <v>0</v>
      </c>
      <c r="Q217" s="1095">
        <v>0</v>
      </c>
      <c r="R217" s="378" t="str">
        <f t="shared" si="145"/>
        <v/>
      </c>
      <c r="S217" s="378" t="str">
        <f t="shared" si="146"/>
        <v/>
      </c>
      <c r="T217" s="379">
        <f>ROUND(IF(K217="",0,+Q217/1659*(AB217*12*(1+tab!$G$79+tab!$G$80)-tab!$G$78)*tab!$G$76),-1)</f>
        <v>0</v>
      </c>
      <c r="U217" s="1111" t="str">
        <f t="shared" si="147"/>
        <v/>
      </c>
      <c r="V217" s="362"/>
      <c r="W217" s="852"/>
      <c r="AB217" s="1105" t="str">
        <f t="shared" si="142"/>
        <v/>
      </c>
      <c r="AC217" s="1144">
        <f t="shared" si="148"/>
        <v>0.54</v>
      </c>
      <c r="AD217" s="1104" t="e">
        <f t="shared" si="149"/>
        <v>#VALUE!</v>
      </c>
      <c r="AE217" s="1104" t="e">
        <f t="shared" si="150"/>
        <v>#VALUE!</v>
      </c>
      <c r="AF217" s="1104" t="e">
        <f t="shared" si="151"/>
        <v>#VALUE!</v>
      </c>
      <c r="AG217" s="14">
        <f t="shared" si="152"/>
        <v>0</v>
      </c>
      <c r="AH217" s="1106" t="str">
        <f t="shared" si="153"/>
        <v/>
      </c>
      <c r="AI217" s="14">
        <f t="shared" si="154"/>
        <v>0</v>
      </c>
      <c r="AJ217" s="1107">
        <f t="shared" si="155"/>
        <v>0.5</v>
      </c>
      <c r="AK217" s="6">
        <f t="shared" si="156"/>
        <v>0</v>
      </c>
      <c r="AL217" s="1108">
        <f t="shared" si="157"/>
        <v>0</v>
      </c>
    </row>
    <row r="218" spans="3:38" ht="12.75" customHeight="1" x14ac:dyDescent="0.2">
      <c r="C218" s="34"/>
      <c r="D218" s="798" t="str">
        <f t="shared" si="137"/>
        <v/>
      </c>
      <c r="E218" s="798" t="str">
        <f t="shared" si="137"/>
        <v/>
      </c>
      <c r="F218" s="798" t="str">
        <f t="shared" si="137"/>
        <v/>
      </c>
      <c r="G218" s="799" t="str">
        <f t="shared" si="138"/>
        <v/>
      </c>
      <c r="H218" s="800" t="str">
        <f t="shared" si="139"/>
        <v/>
      </c>
      <c r="I218" s="801" t="str">
        <f t="shared" si="139"/>
        <v/>
      </c>
      <c r="J218" s="799" t="str">
        <f t="shared" si="140"/>
        <v/>
      </c>
      <c r="K218" s="802" t="str">
        <f t="shared" si="141"/>
        <v/>
      </c>
      <c r="L218" s="1086"/>
      <c r="M218" s="789">
        <v>0</v>
      </c>
      <c r="N218" s="1215">
        <v>0</v>
      </c>
      <c r="O218" s="1216" t="str">
        <f t="shared" si="143"/>
        <v/>
      </c>
      <c r="P218" s="1096">
        <f t="shared" si="144"/>
        <v>0</v>
      </c>
      <c r="Q218" s="1095">
        <v>0</v>
      </c>
      <c r="R218" s="378" t="str">
        <f t="shared" si="145"/>
        <v/>
      </c>
      <c r="S218" s="378" t="str">
        <f t="shared" si="146"/>
        <v/>
      </c>
      <c r="T218" s="379">
        <f>ROUND(IF(K218="",0,+Q218/1659*(AB218*12*(1+tab!$G$79+tab!$G$80)-tab!$G$78)*tab!$G$76),-1)</f>
        <v>0</v>
      </c>
      <c r="U218" s="1111" t="str">
        <f t="shared" si="147"/>
        <v/>
      </c>
      <c r="V218" s="362"/>
      <c r="W218" s="852"/>
      <c r="AB218" s="1105" t="str">
        <f t="shared" si="142"/>
        <v/>
      </c>
      <c r="AC218" s="1144">
        <f t="shared" si="148"/>
        <v>0.54</v>
      </c>
      <c r="AD218" s="1104" t="e">
        <f t="shared" si="149"/>
        <v>#VALUE!</v>
      </c>
      <c r="AE218" s="1104" t="e">
        <f t="shared" si="150"/>
        <v>#VALUE!</v>
      </c>
      <c r="AF218" s="1104" t="e">
        <f t="shared" si="151"/>
        <v>#VALUE!</v>
      </c>
      <c r="AG218" s="14">
        <f t="shared" si="152"/>
        <v>0</v>
      </c>
      <c r="AH218" s="1106" t="str">
        <f t="shared" si="153"/>
        <v/>
      </c>
      <c r="AI218" s="14">
        <f t="shared" si="154"/>
        <v>0</v>
      </c>
      <c r="AJ218" s="1107">
        <f t="shared" si="155"/>
        <v>0.5</v>
      </c>
      <c r="AK218" s="6">
        <f t="shared" si="156"/>
        <v>0</v>
      </c>
      <c r="AL218" s="1108">
        <f t="shared" si="157"/>
        <v>0</v>
      </c>
    </row>
    <row r="219" spans="3:38" ht="12.75" customHeight="1" x14ac:dyDescent="0.2">
      <c r="C219" s="34"/>
      <c r="D219" s="798" t="str">
        <f t="shared" si="137"/>
        <v/>
      </c>
      <c r="E219" s="798" t="str">
        <f t="shared" si="137"/>
        <v/>
      </c>
      <c r="F219" s="798" t="str">
        <f t="shared" si="137"/>
        <v/>
      </c>
      <c r="G219" s="799" t="str">
        <f t="shared" si="138"/>
        <v/>
      </c>
      <c r="H219" s="800" t="str">
        <f t="shared" si="139"/>
        <v/>
      </c>
      <c r="I219" s="801" t="str">
        <f t="shared" si="139"/>
        <v/>
      </c>
      <c r="J219" s="799" t="str">
        <f t="shared" si="140"/>
        <v/>
      </c>
      <c r="K219" s="802" t="str">
        <f t="shared" si="141"/>
        <v/>
      </c>
      <c r="L219" s="1086"/>
      <c r="M219" s="789">
        <v>0</v>
      </c>
      <c r="N219" s="1215">
        <v>0</v>
      </c>
      <c r="O219" s="1216" t="str">
        <f t="shared" si="143"/>
        <v/>
      </c>
      <c r="P219" s="1096">
        <f t="shared" si="144"/>
        <v>0</v>
      </c>
      <c r="Q219" s="1095">
        <v>0</v>
      </c>
      <c r="R219" s="378" t="str">
        <f t="shared" si="145"/>
        <v/>
      </c>
      <c r="S219" s="378" t="str">
        <f t="shared" si="146"/>
        <v/>
      </c>
      <c r="T219" s="379">
        <f>ROUND(IF(K219="",0,+Q219/1659*(AB219*12*(1+tab!$G$79+tab!$G$80)-tab!$G$78)*tab!$G$76),-1)</f>
        <v>0</v>
      </c>
      <c r="U219" s="1111" t="str">
        <f t="shared" si="147"/>
        <v/>
      </c>
      <c r="V219" s="362"/>
      <c r="W219" s="852"/>
      <c r="AB219" s="1105" t="str">
        <f t="shared" si="142"/>
        <v/>
      </c>
      <c r="AC219" s="1144">
        <f t="shared" si="148"/>
        <v>0.54</v>
      </c>
      <c r="AD219" s="1104" t="e">
        <f t="shared" si="149"/>
        <v>#VALUE!</v>
      </c>
      <c r="AE219" s="1104" t="e">
        <f t="shared" si="150"/>
        <v>#VALUE!</v>
      </c>
      <c r="AF219" s="1104" t="e">
        <f t="shared" si="151"/>
        <v>#VALUE!</v>
      </c>
      <c r="AG219" s="14">
        <f t="shared" si="152"/>
        <v>0</v>
      </c>
      <c r="AH219" s="1106" t="str">
        <f t="shared" si="153"/>
        <v/>
      </c>
      <c r="AI219" s="14">
        <f t="shared" si="154"/>
        <v>0</v>
      </c>
      <c r="AJ219" s="1107">
        <f t="shared" si="155"/>
        <v>0.5</v>
      </c>
      <c r="AK219" s="6">
        <f t="shared" si="156"/>
        <v>0</v>
      </c>
      <c r="AL219" s="1108">
        <f t="shared" si="157"/>
        <v>0</v>
      </c>
    </row>
    <row r="220" spans="3:38" ht="12.75" customHeight="1" x14ac:dyDescent="0.2">
      <c r="C220" s="34"/>
      <c r="D220" s="798" t="str">
        <f t="shared" si="137"/>
        <v/>
      </c>
      <c r="E220" s="798" t="str">
        <f t="shared" si="137"/>
        <v/>
      </c>
      <c r="F220" s="798" t="str">
        <f t="shared" si="137"/>
        <v/>
      </c>
      <c r="G220" s="799" t="str">
        <f t="shared" si="138"/>
        <v/>
      </c>
      <c r="H220" s="800" t="str">
        <f t="shared" si="139"/>
        <v/>
      </c>
      <c r="I220" s="801" t="str">
        <f t="shared" si="139"/>
        <v/>
      </c>
      <c r="J220" s="799" t="str">
        <f t="shared" si="140"/>
        <v/>
      </c>
      <c r="K220" s="802" t="str">
        <f t="shared" si="141"/>
        <v/>
      </c>
      <c r="L220" s="1086"/>
      <c r="M220" s="789">
        <v>0</v>
      </c>
      <c r="N220" s="1215">
        <v>0</v>
      </c>
      <c r="O220" s="1216" t="str">
        <f t="shared" si="143"/>
        <v/>
      </c>
      <c r="P220" s="1096">
        <f t="shared" si="144"/>
        <v>0</v>
      </c>
      <c r="Q220" s="1095">
        <v>0</v>
      </c>
      <c r="R220" s="378" t="str">
        <f t="shared" si="145"/>
        <v/>
      </c>
      <c r="S220" s="378" t="str">
        <f t="shared" si="146"/>
        <v/>
      </c>
      <c r="T220" s="379">
        <f>ROUND(IF(K220="",0,+Q220/1659*(AB220*12*(1+tab!$G$79+tab!$G$80)-tab!$G$78)*tab!$G$76),-1)</f>
        <v>0</v>
      </c>
      <c r="U220" s="1111" t="str">
        <f t="shared" si="147"/>
        <v/>
      </c>
      <c r="V220" s="362"/>
      <c r="W220" s="852"/>
      <c r="AB220" s="1105" t="str">
        <f t="shared" si="142"/>
        <v/>
      </c>
      <c r="AC220" s="1144">
        <f t="shared" si="148"/>
        <v>0.54</v>
      </c>
      <c r="AD220" s="1104" t="e">
        <f t="shared" si="149"/>
        <v>#VALUE!</v>
      </c>
      <c r="AE220" s="1104" t="e">
        <f t="shared" si="150"/>
        <v>#VALUE!</v>
      </c>
      <c r="AF220" s="1104" t="e">
        <f t="shared" si="151"/>
        <v>#VALUE!</v>
      </c>
      <c r="AG220" s="14">
        <f t="shared" si="152"/>
        <v>0</v>
      </c>
      <c r="AH220" s="1106" t="str">
        <f t="shared" si="153"/>
        <v/>
      </c>
      <c r="AI220" s="14">
        <f t="shared" si="154"/>
        <v>0</v>
      </c>
      <c r="AJ220" s="1107">
        <f t="shared" si="155"/>
        <v>0.5</v>
      </c>
      <c r="AK220" s="6">
        <f t="shared" si="156"/>
        <v>0</v>
      </c>
      <c r="AL220" s="1108">
        <f t="shared" si="157"/>
        <v>0</v>
      </c>
    </row>
    <row r="221" spans="3:38" ht="12.75" customHeight="1" x14ac:dyDescent="0.2">
      <c r="C221" s="34"/>
      <c r="D221" s="798" t="str">
        <f t="shared" si="137"/>
        <v/>
      </c>
      <c r="E221" s="798" t="str">
        <f t="shared" si="137"/>
        <v/>
      </c>
      <c r="F221" s="798" t="str">
        <f t="shared" si="137"/>
        <v/>
      </c>
      <c r="G221" s="799" t="str">
        <f t="shared" si="138"/>
        <v/>
      </c>
      <c r="H221" s="800" t="str">
        <f t="shared" si="139"/>
        <v/>
      </c>
      <c r="I221" s="801" t="str">
        <f t="shared" si="139"/>
        <v/>
      </c>
      <c r="J221" s="799" t="str">
        <f t="shared" si="140"/>
        <v/>
      </c>
      <c r="K221" s="802" t="str">
        <f t="shared" si="141"/>
        <v/>
      </c>
      <c r="L221" s="1086"/>
      <c r="M221" s="789">
        <v>0</v>
      </c>
      <c r="N221" s="1215">
        <v>0</v>
      </c>
      <c r="O221" s="1216" t="str">
        <f t="shared" si="143"/>
        <v/>
      </c>
      <c r="P221" s="1096">
        <f t="shared" si="144"/>
        <v>0</v>
      </c>
      <c r="Q221" s="1095">
        <v>0</v>
      </c>
      <c r="R221" s="378" t="str">
        <f t="shared" si="145"/>
        <v/>
      </c>
      <c r="S221" s="378" t="str">
        <f t="shared" si="146"/>
        <v/>
      </c>
      <c r="T221" s="379">
        <f>ROUND(IF(K221="",0,+Q221/1659*(AB221*12*(1+tab!$G$79+tab!$G$80)-tab!$G$78)*tab!$G$76),-1)</f>
        <v>0</v>
      </c>
      <c r="U221" s="1111" t="str">
        <f t="shared" si="147"/>
        <v/>
      </c>
      <c r="V221" s="362"/>
      <c r="W221" s="852"/>
      <c r="AB221" s="1105" t="str">
        <f t="shared" si="142"/>
        <v/>
      </c>
      <c r="AC221" s="1144">
        <f t="shared" si="148"/>
        <v>0.54</v>
      </c>
      <c r="AD221" s="1104" t="e">
        <f t="shared" si="149"/>
        <v>#VALUE!</v>
      </c>
      <c r="AE221" s="1104" t="e">
        <f t="shared" si="150"/>
        <v>#VALUE!</v>
      </c>
      <c r="AF221" s="1104" t="e">
        <f t="shared" si="151"/>
        <v>#VALUE!</v>
      </c>
      <c r="AG221" s="14">
        <f t="shared" si="152"/>
        <v>0</v>
      </c>
      <c r="AH221" s="1106" t="str">
        <f t="shared" si="153"/>
        <v/>
      </c>
      <c r="AI221" s="14">
        <f t="shared" si="154"/>
        <v>0</v>
      </c>
      <c r="AJ221" s="1107">
        <f t="shared" si="155"/>
        <v>0.5</v>
      </c>
      <c r="AK221" s="6">
        <f t="shared" si="156"/>
        <v>0</v>
      </c>
      <c r="AL221" s="1108">
        <f t="shared" si="157"/>
        <v>0</v>
      </c>
    </row>
    <row r="222" spans="3:38" ht="12.75" customHeight="1" x14ac:dyDescent="0.2">
      <c r="C222" s="34"/>
      <c r="D222" s="798" t="str">
        <f t="shared" si="137"/>
        <v/>
      </c>
      <c r="E222" s="798" t="str">
        <f t="shared" si="137"/>
        <v/>
      </c>
      <c r="F222" s="798" t="str">
        <f t="shared" si="137"/>
        <v/>
      </c>
      <c r="G222" s="799" t="str">
        <f t="shared" si="138"/>
        <v/>
      </c>
      <c r="H222" s="800" t="str">
        <f t="shared" si="139"/>
        <v/>
      </c>
      <c r="I222" s="801" t="str">
        <f t="shared" si="139"/>
        <v/>
      </c>
      <c r="J222" s="799" t="str">
        <f t="shared" si="140"/>
        <v/>
      </c>
      <c r="K222" s="802" t="str">
        <f t="shared" si="141"/>
        <v/>
      </c>
      <c r="L222" s="1086"/>
      <c r="M222" s="789">
        <v>0</v>
      </c>
      <c r="N222" s="1215">
        <v>0</v>
      </c>
      <c r="O222" s="1216" t="str">
        <f t="shared" si="143"/>
        <v/>
      </c>
      <c r="P222" s="1096">
        <f t="shared" si="144"/>
        <v>0</v>
      </c>
      <c r="Q222" s="1095">
        <v>0</v>
      </c>
      <c r="R222" s="378" t="str">
        <f t="shared" si="145"/>
        <v/>
      </c>
      <c r="S222" s="378" t="str">
        <f t="shared" si="146"/>
        <v/>
      </c>
      <c r="T222" s="379">
        <f>ROUND(IF(K222="",0,+Q222/1659*(AB222*12*(1+tab!$G$79+tab!$G$80)-tab!$G$78)*tab!$G$76),-1)</f>
        <v>0</v>
      </c>
      <c r="U222" s="1111" t="str">
        <f t="shared" si="147"/>
        <v/>
      </c>
      <c r="V222" s="362"/>
      <c r="W222" s="852"/>
      <c r="AB222" s="1105" t="str">
        <f t="shared" si="142"/>
        <v/>
      </c>
      <c r="AC222" s="1144">
        <f t="shared" si="148"/>
        <v>0.54</v>
      </c>
      <c r="AD222" s="1104" t="e">
        <f t="shared" si="149"/>
        <v>#VALUE!</v>
      </c>
      <c r="AE222" s="1104" t="e">
        <f t="shared" si="150"/>
        <v>#VALUE!</v>
      </c>
      <c r="AF222" s="1104" t="e">
        <f t="shared" si="151"/>
        <v>#VALUE!</v>
      </c>
      <c r="AG222" s="14">
        <f t="shared" si="152"/>
        <v>0</v>
      </c>
      <c r="AH222" s="1106" t="str">
        <f t="shared" si="153"/>
        <v/>
      </c>
      <c r="AI222" s="14">
        <f t="shared" si="154"/>
        <v>0</v>
      </c>
      <c r="AJ222" s="1107">
        <f t="shared" si="155"/>
        <v>0.5</v>
      </c>
      <c r="AK222" s="6">
        <f t="shared" si="156"/>
        <v>0</v>
      </c>
      <c r="AL222" s="1108">
        <f t="shared" si="157"/>
        <v>0</v>
      </c>
    </row>
    <row r="223" spans="3:38" ht="12.75" customHeight="1" x14ac:dyDescent="0.2">
      <c r="C223" s="34"/>
      <c r="D223" s="798" t="str">
        <f t="shared" si="137"/>
        <v/>
      </c>
      <c r="E223" s="798" t="str">
        <f t="shared" si="137"/>
        <v/>
      </c>
      <c r="F223" s="798" t="str">
        <f t="shared" si="137"/>
        <v/>
      </c>
      <c r="G223" s="799" t="str">
        <f t="shared" si="138"/>
        <v/>
      </c>
      <c r="H223" s="800" t="str">
        <f t="shared" si="139"/>
        <v/>
      </c>
      <c r="I223" s="801" t="str">
        <f t="shared" si="139"/>
        <v/>
      </c>
      <c r="J223" s="799" t="str">
        <f t="shared" si="140"/>
        <v/>
      </c>
      <c r="K223" s="802" t="str">
        <f t="shared" si="141"/>
        <v/>
      </c>
      <c r="L223" s="1086"/>
      <c r="M223" s="789">
        <v>0</v>
      </c>
      <c r="N223" s="1215">
        <v>0</v>
      </c>
      <c r="O223" s="1216" t="str">
        <f t="shared" si="143"/>
        <v/>
      </c>
      <c r="P223" s="1096">
        <f t="shared" si="144"/>
        <v>0</v>
      </c>
      <c r="Q223" s="1095">
        <v>0</v>
      </c>
      <c r="R223" s="378" t="str">
        <f t="shared" si="145"/>
        <v/>
      </c>
      <c r="S223" s="378" t="str">
        <f t="shared" si="146"/>
        <v/>
      </c>
      <c r="T223" s="379">
        <f>ROUND(IF(K223="",0,+Q223/1659*(AB223*12*(1+tab!$G$79+tab!$G$80)-tab!$G$78)*tab!$G$76),-1)</f>
        <v>0</v>
      </c>
      <c r="U223" s="1111" t="str">
        <f t="shared" si="147"/>
        <v/>
      </c>
      <c r="V223" s="362"/>
      <c r="W223" s="852"/>
      <c r="AB223" s="1105" t="str">
        <f t="shared" si="142"/>
        <v/>
      </c>
      <c r="AC223" s="1144">
        <f t="shared" si="148"/>
        <v>0.54</v>
      </c>
      <c r="AD223" s="1104" t="e">
        <f t="shared" si="149"/>
        <v>#VALUE!</v>
      </c>
      <c r="AE223" s="1104" t="e">
        <f t="shared" si="150"/>
        <v>#VALUE!</v>
      </c>
      <c r="AF223" s="1104" t="e">
        <f t="shared" si="151"/>
        <v>#VALUE!</v>
      </c>
      <c r="AG223" s="14">
        <f t="shared" si="152"/>
        <v>0</v>
      </c>
      <c r="AH223" s="1106" t="str">
        <f t="shared" si="153"/>
        <v/>
      </c>
      <c r="AI223" s="14">
        <f t="shared" si="154"/>
        <v>0</v>
      </c>
      <c r="AJ223" s="1107">
        <f t="shared" si="155"/>
        <v>0.5</v>
      </c>
      <c r="AK223" s="6">
        <f t="shared" si="156"/>
        <v>0</v>
      </c>
      <c r="AL223" s="1108">
        <f t="shared" si="157"/>
        <v>0</v>
      </c>
    </row>
    <row r="224" spans="3:38" ht="12.75" customHeight="1" x14ac:dyDescent="0.2">
      <c r="C224" s="34"/>
      <c r="D224" s="798" t="str">
        <f t="shared" si="137"/>
        <v/>
      </c>
      <c r="E224" s="798" t="str">
        <f t="shared" si="137"/>
        <v/>
      </c>
      <c r="F224" s="798" t="str">
        <f t="shared" si="137"/>
        <v/>
      </c>
      <c r="G224" s="799" t="str">
        <f t="shared" si="138"/>
        <v/>
      </c>
      <c r="H224" s="800" t="str">
        <f t="shared" si="139"/>
        <v/>
      </c>
      <c r="I224" s="801" t="str">
        <f t="shared" si="139"/>
        <v/>
      </c>
      <c r="J224" s="799" t="str">
        <f t="shared" si="140"/>
        <v/>
      </c>
      <c r="K224" s="802" t="str">
        <f t="shared" si="141"/>
        <v/>
      </c>
      <c r="L224" s="1086"/>
      <c r="M224" s="789">
        <v>0</v>
      </c>
      <c r="N224" s="1215">
        <v>0</v>
      </c>
      <c r="O224" s="1216" t="str">
        <f t="shared" si="143"/>
        <v/>
      </c>
      <c r="P224" s="1096">
        <f t="shared" si="144"/>
        <v>0</v>
      </c>
      <c r="Q224" s="1095">
        <v>0</v>
      </c>
      <c r="R224" s="378" t="str">
        <f t="shared" si="145"/>
        <v/>
      </c>
      <c r="S224" s="378" t="str">
        <f t="shared" si="146"/>
        <v/>
      </c>
      <c r="T224" s="379">
        <f>ROUND(IF(K224="",0,+Q224/1659*(AB224*12*(1+tab!$G$79+tab!$G$80)-tab!$G$78)*tab!$G$76),-1)</f>
        <v>0</v>
      </c>
      <c r="U224" s="1111" t="str">
        <f t="shared" si="147"/>
        <v/>
      </c>
      <c r="V224" s="362"/>
      <c r="W224" s="852"/>
      <c r="AB224" s="1105" t="str">
        <f t="shared" si="142"/>
        <v/>
      </c>
      <c r="AC224" s="1144">
        <f t="shared" si="148"/>
        <v>0.54</v>
      </c>
      <c r="AD224" s="1104" t="e">
        <f t="shared" si="149"/>
        <v>#VALUE!</v>
      </c>
      <c r="AE224" s="1104" t="e">
        <f t="shared" si="150"/>
        <v>#VALUE!</v>
      </c>
      <c r="AF224" s="1104" t="e">
        <f t="shared" si="151"/>
        <v>#VALUE!</v>
      </c>
      <c r="AG224" s="14">
        <f t="shared" si="152"/>
        <v>0</v>
      </c>
      <c r="AH224" s="1106" t="str">
        <f t="shared" si="153"/>
        <v/>
      </c>
      <c r="AI224" s="14">
        <f t="shared" si="154"/>
        <v>0</v>
      </c>
      <c r="AJ224" s="1107">
        <f t="shared" si="155"/>
        <v>0.5</v>
      </c>
      <c r="AK224" s="6">
        <f t="shared" si="156"/>
        <v>0</v>
      </c>
      <c r="AL224" s="1108">
        <f t="shared" si="157"/>
        <v>0</v>
      </c>
    </row>
    <row r="225" spans="3:46" ht="12.75" customHeight="1" x14ac:dyDescent="0.2">
      <c r="C225" s="34"/>
      <c r="D225" s="798" t="str">
        <f t="shared" si="137"/>
        <v/>
      </c>
      <c r="E225" s="798" t="str">
        <f t="shared" si="137"/>
        <v/>
      </c>
      <c r="F225" s="798" t="str">
        <f t="shared" si="137"/>
        <v/>
      </c>
      <c r="G225" s="799" t="str">
        <f t="shared" si="138"/>
        <v/>
      </c>
      <c r="H225" s="800" t="str">
        <f t="shared" si="139"/>
        <v/>
      </c>
      <c r="I225" s="801" t="str">
        <f t="shared" si="139"/>
        <v/>
      </c>
      <c r="J225" s="799" t="str">
        <f t="shared" si="140"/>
        <v/>
      </c>
      <c r="K225" s="802" t="str">
        <f t="shared" si="141"/>
        <v/>
      </c>
      <c r="L225" s="1086"/>
      <c r="M225" s="789">
        <v>0</v>
      </c>
      <c r="N225" s="1215">
        <v>0</v>
      </c>
      <c r="O225" s="1216" t="str">
        <f t="shared" si="143"/>
        <v/>
      </c>
      <c r="P225" s="1096">
        <f t="shared" si="144"/>
        <v>0</v>
      </c>
      <c r="Q225" s="1095">
        <v>0</v>
      </c>
      <c r="R225" s="378" t="str">
        <f t="shared" si="145"/>
        <v/>
      </c>
      <c r="S225" s="378" t="str">
        <f t="shared" si="146"/>
        <v/>
      </c>
      <c r="T225" s="379">
        <f>ROUND(IF(K225="",0,+Q225/1659*(AB225*12*(1+tab!$G$79+tab!$G$80)-tab!$G$78)*tab!$G$76),-1)</f>
        <v>0</v>
      </c>
      <c r="U225" s="1111" t="str">
        <f t="shared" si="147"/>
        <v/>
      </c>
      <c r="V225" s="362"/>
      <c r="W225" s="852"/>
      <c r="AB225" s="1105" t="str">
        <f t="shared" si="142"/>
        <v/>
      </c>
      <c r="AC225" s="1144">
        <f t="shared" si="148"/>
        <v>0.54</v>
      </c>
      <c r="AD225" s="1104" t="e">
        <f t="shared" si="149"/>
        <v>#VALUE!</v>
      </c>
      <c r="AE225" s="1104" t="e">
        <f t="shared" si="150"/>
        <v>#VALUE!</v>
      </c>
      <c r="AF225" s="1104" t="e">
        <f t="shared" si="151"/>
        <v>#VALUE!</v>
      </c>
      <c r="AG225" s="14">
        <f t="shared" si="152"/>
        <v>0</v>
      </c>
      <c r="AH225" s="1106" t="str">
        <f t="shared" si="153"/>
        <v/>
      </c>
      <c r="AI225" s="14">
        <f t="shared" si="154"/>
        <v>0</v>
      </c>
      <c r="AJ225" s="1107">
        <f t="shared" si="155"/>
        <v>0.5</v>
      </c>
      <c r="AK225" s="6">
        <f t="shared" si="156"/>
        <v>0</v>
      </c>
      <c r="AL225" s="1108">
        <f t="shared" si="157"/>
        <v>0</v>
      </c>
    </row>
    <row r="226" spans="3:46" ht="12.75" customHeight="1" x14ac:dyDescent="0.2">
      <c r="C226" s="34"/>
      <c r="D226" s="798" t="str">
        <f t="shared" si="137"/>
        <v/>
      </c>
      <c r="E226" s="798" t="str">
        <f t="shared" si="137"/>
        <v/>
      </c>
      <c r="F226" s="798" t="str">
        <f t="shared" si="137"/>
        <v/>
      </c>
      <c r="G226" s="799" t="str">
        <f t="shared" si="138"/>
        <v/>
      </c>
      <c r="H226" s="800" t="str">
        <f t="shared" si="139"/>
        <v/>
      </c>
      <c r="I226" s="801" t="str">
        <f t="shared" si="139"/>
        <v/>
      </c>
      <c r="J226" s="799" t="str">
        <f t="shared" si="140"/>
        <v/>
      </c>
      <c r="K226" s="802" t="str">
        <f t="shared" si="141"/>
        <v/>
      </c>
      <c r="L226" s="1086"/>
      <c r="M226" s="789">
        <v>0</v>
      </c>
      <c r="N226" s="1215">
        <v>0</v>
      </c>
      <c r="O226" s="1216" t="str">
        <f t="shared" si="143"/>
        <v/>
      </c>
      <c r="P226" s="1096">
        <f t="shared" si="144"/>
        <v>0</v>
      </c>
      <c r="Q226" s="1095">
        <v>0</v>
      </c>
      <c r="R226" s="378" t="str">
        <f t="shared" si="145"/>
        <v/>
      </c>
      <c r="S226" s="378" t="str">
        <f t="shared" si="146"/>
        <v/>
      </c>
      <c r="T226" s="379">
        <f>ROUND(IF(K226="",0,+Q226/1659*(AB226*12*(1+tab!$G$79+tab!$G$80)-tab!$G$78)*tab!$G$76),-1)</f>
        <v>0</v>
      </c>
      <c r="U226" s="1111" t="str">
        <f t="shared" si="147"/>
        <v/>
      </c>
      <c r="V226" s="362"/>
      <c r="W226" s="852"/>
      <c r="AB226" s="1105" t="str">
        <f t="shared" si="142"/>
        <v/>
      </c>
      <c r="AC226" s="1144">
        <f t="shared" si="148"/>
        <v>0.54</v>
      </c>
      <c r="AD226" s="1104" t="e">
        <f t="shared" si="149"/>
        <v>#VALUE!</v>
      </c>
      <c r="AE226" s="1104" t="e">
        <f t="shared" si="150"/>
        <v>#VALUE!</v>
      </c>
      <c r="AF226" s="1104" t="e">
        <f t="shared" si="151"/>
        <v>#VALUE!</v>
      </c>
      <c r="AG226" s="14">
        <f t="shared" si="152"/>
        <v>0</v>
      </c>
      <c r="AH226" s="1106" t="str">
        <f t="shared" si="153"/>
        <v/>
      </c>
      <c r="AI226" s="14">
        <f t="shared" si="154"/>
        <v>0</v>
      </c>
      <c r="AJ226" s="1107">
        <f t="shared" si="155"/>
        <v>0.5</v>
      </c>
      <c r="AK226" s="6">
        <f t="shared" si="156"/>
        <v>0</v>
      </c>
      <c r="AL226" s="1108">
        <f t="shared" si="157"/>
        <v>0</v>
      </c>
    </row>
    <row r="227" spans="3:46" x14ac:dyDescent="0.2">
      <c r="C227" s="34"/>
      <c r="D227" s="363"/>
      <c r="E227" s="363"/>
      <c r="F227" s="363"/>
      <c r="G227" s="188"/>
      <c r="H227" s="364"/>
      <c r="I227" s="188"/>
      <c r="J227" s="365"/>
      <c r="K227" s="380">
        <f>SUM(K207:K226)</f>
        <v>1</v>
      </c>
      <c r="L227" s="1079"/>
      <c r="M227" s="1094">
        <f t="shared" ref="M227:U227" si="158">SUM(M207:M226)</f>
        <v>0</v>
      </c>
      <c r="N227" s="1094">
        <f t="shared" si="158"/>
        <v>0</v>
      </c>
      <c r="O227" s="1094">
        <f t="shared" si="158"/>
        <v>50</v>
      </c>
      <c r="P227" s="1094">
        <f t="shared" si="158"/>
        <v>50</v>
      </c>
      <c r="Q227" s="1094">
        <f t="shared" si="158"/>
        <v>0</v>
      </c>
      <c r="R227" s="1109">
        <f t="shared" si="158"/>
        <v>102143.39341772153</v>
      </c>
      <c r="S227" s="1109">
        <f t="shared" si="158"/>
        <v>3174.1265822784812</v>
      </c>
      <c r="T227" s="1109">
        <f t="shared" si="158"/>
        <v>0</v>
      </c>
      <c r="U227" s="1110">
        <f t="shared" si="158"/>
        <v>105317.52</v>
      </c>
      <c r="V227" s="348"/>
      <c r="W227" s="852"/>
      <c r="AB227" s="1105">
        <f>SUM(AB207:AB226)</f>
        <v>5699</v>
      </c>
      <c r="AL227" s="1108">
        <f>SUM(AL207:AL226)</f>
        <v>0</v>
      </c>
    </row>
    <row r="228" spans="3:46" x14ac:dyDescent="0.2">
      <c r="C228" s="34"/>
      <c r="D228" s="183"/>
      <c r="E228" s="183"/>
      <c r="F228" s="183"/>
      <c r="G228" s="182"/>
      <c r="H228" s="189"/>
      <c r="I228" s="182"/>
      <c r="J228" s="348"/>
      <c r="K228" s="349"/>
      <c r="L228" s="1083"/>
      <c r="M228" s="349"/>
      <c r="N228" s="348"/>
      <c r="O228" s="348"/>
      <c r="P228" s="366"/>
      <c r="Q228" s="366"/>
      <c r="R228" s="366"/>
      <c r="S228" s="366"/>
      <c r="T228" s="352"/>
      <c r="U228" s="367"/>
      <c r="V228" s="348"/>
      <c r="W228" s="852"/>
    </row>
    <row r="229" spans="3:46" x14ac:dyDescent="0.2">
      <c r="W229" s="852"/>
    </row>
    <row r="230" spans="3:46" s="7" customFormat="1" x14ac:dyDescent="0.2">
      <c r="D230" s="272"/>
      <c r="E230" s="272"/>
      <c r="F230" s="272"/>
      <c r="G230" s="273"/>
      <c r="H230" s="274"/>
      <c r="I230" s="275"/>
      <c r="J230" s="275"/>
      <c r="K230" s="277"/>
      <c r="L230" s="1088"/>
      <c r="M230" s="282"/>
      <c r="O230" s="283"/>
      <c r="T230" s="225"/>
      <c r="U230" s="284"/>
      <c r="W230" s="1147"/>
      <c r="AC230" s="273"/>
      <c r="AD230" s="281"/>
      <c r="AL230" s="273"/>
      <c r="AM230" s="281"/>
      <c r="AT230" s="6"/>
    </row>
    <row r="235" spans="3:46" x14ac:dyDescent="0.2">
      <c r="D235" s="604" t="s">
        <v>86</v>
      </c>
    </row>
    <row r="236" spans="3:46" x14ac:dyDescent="0.2">
      <c r="D236" s="604" t="s">
        <v>87</v>
      </c>
    </row>
    <row r="237" spans="3:46" x14ac:dyDescent="0.2">
      <c r="D237" s="604" t="s">
        <v>88</v>
      </c>
    </row>
    <row r="238" spans="3:46" x14ac:dyDescent="0.2">
      <c r="D238" s="604" t="s">
        <v>89</v>
      </c>
    </row>
    <row r="239" spans="3:46" x14ac:dyDescent="0.2">
      <c r="D239" s="604">
        <v>1</v>
      </c>
    </row>
    <row r="240" spans="3:46" x14ac:dyDescent="0.2">
      <c r="D240" s="604">
        <v>2</v>
      </c>
    </row>
    <row r="241" spans="4:4" x14ac:dyDescent="0.2">
      <c r="D241" s="604">
        <v>3</v>
      </c>
    </row>
    <row r="242" spans="4:4" x14ac:dyDescent="0.2">
      <c r="D242" s="604">
        <v>4</v>
      </c>
    </row>
    <row r="243" spans="4:4" x14ac:dyDescent="0.2">
      <c r="D243" s="604">
        <v>5</v>
      </c>
    </row>
    <row r="244" spans="4:4" x14ac:dyDescent="0.2">
      <c r="D244" s="604">
        <v>6</v>
      </c>
    </row>
    <row r="245" spans="4:4" x14ac:dyDescent="0.2">
      <c r="D245" s="604">
        <v>7</v>
      </c>
    </row>
    <row r="246" spans="4:4" x14ac:dyDescent="0.2">
      <c r="D246" s="604">
        <v>8</v>
      </c>
    </row>
    <row r="247" spans="4:4" x14ac:dyDescent="0.2">
      <c r="D247" s="604">
        <v>9</v>
      </c>
    </row>
    <row r="248" spans="4:4" x14ac:dyDescent="0.2">
      <c r="D248" s="604">
        <v>10</v>
      </c>
    </row>
    <row r="249" spans="4:4" x14ac:dyDescent="0.2">
      <c r="D249" s="604">
        <v>11</v>
      </c>
    </row>
    <row r="250" spans="4:4" x14ac:dyDescent="0.2">
      <c r="D250" s="604">
        <v>12</v>
      </c>
    </row>
    <row r="251" spans="4:4" x14ac:dyDescent="0.2">
      <c r="D251" s="604">
        <v>13</v>
      </c>
    </row>
    <row r="252" spans="4:4" x14ac:dyDescent="0.2">
      <c r="D252" s="604">
        <v>14</v>
      </c>
    </row>
    <row r="253" spans="4:4" x14ac:dyDescent="0.2">
      <c r="D253" s="604">
        <v>15</v>
      </c>
    </row>
    <row r="254" spans="4:4" x14ac:dyDescent="0.2">
      <c r="D254" s="604">
        <v>16</v>
      </c>
    </row>
    <row r="255" spans="4:4" x14ac:dyDescent="0.2">
      <c r="D255" s="604">
        <v>17</v>
      </c>
    </row>
    <row r="256" spans="4:4" x14ac:dyDescent="0.2">
      <c r="D256" s="604" t="s">
        <v>116</v>
      </c>
    </row>
    <row r="257" spans="4:39" x14ac:dyDescent="0.2">
      <c r="D257" s="604" t="s">
        <v>117</v>
      </c>
    </row>
    <row r="258" spans="4:39" x14ac:dyDescent="0.2">
      <c r="D258" s="604" t="s">
        <v>118</v>
      </c>
    </row>
    <row r="259" spans="4:39" x14ac:dyDescent="0.2">
      <c r="D259" s="604" t="s">
        <v>370</v>
      </c>
    </row>
    <row r="261" spans="4:39" x14ac:dyDescent="0.2">
      <c r="D261" s="110" t="s">
        <v>482</v>
      </c>
      <c r="E261" s="360" t="s">
        <v>685</v>
      </c>
      <c r="F261" s="70" t="s">
        <v>135</v>
      </c>
      <c r="G261" s="218" t="s">
        <v>684</v>
      </c>
      <c r="H261" s="360" t="s">
        <v>266</v>
      </c>
      <c r="I261" s="373"/>
      <c r="J261" s="368"/>
      <c r="K261" s="221"/>
      <c r="L261" s="1078"/>
      <c r="M261" s="6"/>
      <c r="N261" s="224"/>
      <c r="O261" s="6"/>
      <c r="S261" s="225"/>
      <c r="T261" s="226"/>
      <c r="U261" s="227"/>
      <c r="AB261" s="165"/>
      <c r="AC261" s="228"/>
      <c r="AD261" s="6"/>
      <c r="AK261" s="165"/>
      <c r="AL261" s="228"/>
      <c r="AM261" s="6"/>
    </row>
    <row r="262" spans="4:39" x14ac:dyDescent="0.2">
      <c r="D262" s="827">
        <v>2019</v>
      </c>
      <c r="E262" s="1151">
        <f>AB67*12</f>
        <v>48319</v>
      </c>
      <c r="F262" s="1423">
        <f>AB67*AC$47*12</f>
        <v>26092.260000000002</v>
      </c>
      <c r="G262" s="452">
        <f>S67</f>
        <v>2242.6540084388184</v>
      </c>
      <c r="H262" s="360">
        <f>AL67</f>
        <v>0</v>
      </c>
    </row>
    <row r="263" spans="4:39" x14ac:dyDescent="0.2">
      <c r="D263" s="827">
        <v>2020</v>
      </c>
      <c r="E263" s="1151">
        <f>AB99*12</f>
        <v>52152</v>
      </c>
      <c r="F263" s="826">
        <f>AB99*AC$77*12</f>
        <v>28162.080000000002</v>
      </c>
      <c r="G263" s="826">
        <f>+S99</f>
        <v>2420.5569620253164</v>
      </c>
      <c r="H263" s="360">
        <f>+AL99</f>
        <v>0</v>
      </c>
    </row>
    <row r="264" spans="4:39" x14ac:dyDescent="0.2">
      <c r="D264" s="827">
        <v>2021</v>
      </c>
      <c r="E264" s="1151">
        <f>AB131*12</f>
        <v>55728</v>
      </c>
      <c r="F264" s="826">
        <f>AB131*AC$109*12</f>
        <v>30093.120000000003</v>
      </c>
      <c r="G264" s="826">
        <f>+S131</f>
        <v>2586.5316455696202</v>
      </c>
      <c r="H264" s="360">
        <f>+AL131</f>
        <v>2507.7600000000002</v>
      </c>
    </row>
    <row r="265" spans="4:39" x14ac:dyDescent="0.2">
      <c r="D265" s="827">
        <v>2022</v>
      </c>
      <c r="E265" s="1151">
        <f>AB163*12</f>
        <v>59640</v>
      </c>
      <c r="F265" s="826">
        <f>AB163*AC$141*12</f>
        <v>32205.600000000002</v>
      </c>
      <c r="G265" s="826">
        <f>+S163</f>
        <v>2768.1012658227851</v>
      </c>
      <c r="H265" s="360">
        <f>+AL163</f>
        <v>0</v>
      </c>
    </row>
    <row r="266" spans="4:39" x14ac:dyDescent="0.2">
      <c r="D266" s="827">
        <v>2023</v>
      </c>
      <c r="E266" s="1151">
        <f>AB195*12</f>
        <v>63852</v>
      </c>
      <c r="F266" s="826">
        <f>AB195*AC$173*12</f>
        <v>34480.080000000002</v>
      </c>
      <c r="G266" s="826">
        <f>+S195</f>
        <v>2963.5949367088606</v>
      </c>
      <c r="H266" s="360">
        <f>+AL195</f>
        <v>0</v>
      </c>
    </row>
    <row r="267" spans="4:39" x14ac:dyDescent="0.2">
      <c r="D267" s="827">
        <v>2024</v>
      </c>
      <c r="E267" s="1151">
        <f>AB227*12</f>
        <v>68388</v>
      </c>
      <c r="F267" s="826">
        <f>AB227*AC$205*12</f>
        <v>36929.520000000004</v>
      </c>
      <c r="G267" s="826">
        <f>+S227</f>
        <v>3174.1265822784812</v>
      </c>
      <c r="H267" s="360">
        <f>+AL227</f>
        <v>0</v>
      </c>
    </row>
    <row r="268" spans="4:39" x14ac:dyDescent="0.2">
      <c r="D268" s="827">
        <v>2025</v>
      </c>
      <c r="E268" s="1151" t="e">
        <f>#REF!*12</f>
        <v>#REF!</v>
      </c>
      <c r="F268" s="826" t="e">
        <f>#REF!*#REF!*12</f>
        <v>#REF!</v>
      </c>
      <c r="G268" s="826" t="e">
        <f>+#REF!</f>
        <v>#REF!</v>
      </c>
      <c r="H268" s="360" t="e">
        <f>+#REF!</f>
        <v>#REF!</v>
      </c>
    </row>
    <row r="269" spans="4:39" x14ac:dyDescent="0.2">
      <c r="D269" s="827"/>
    </row>
  </sheetData>
  <sheetProtection algorithmName="SHA-512" hashValue="losXBY8JYevWahjVjSJPg2mt0cD6mHZfCsJuKg4t34DhO+ebXldSPGhpasYJTUb5o0Wm/iOUxga8i6STxbbVRA==" saltValue="KqCKbGuuD9OFtkzLtQ+SKQ==" spinCount="100000" sheet="1" objects="1" scenarios="1"/>
  <phoneticPr fontId="0" type="noConversion"/>
  <dataValidations count="2">
    <dataValidation type="list" allowBlank="1" showInputMessage="1" showErrorMessage="1" sqref="I175:I194 I79:I98 I143:I162 I111:I130 I47:I66 I207:I226" xr:uid="{00000000-0002-0000-0600-000000000000}">
      <formula1>D$234:D$260</formula1>
    </dataValidation>
    <dataValidation type="list" allowBlank="1" showInputMessage="1" showErrorMessage="1" sqref="I15:I34" xr:uid="{00000000-0002-0000-0600-000001000000}">
      <formula1>_xlnm.Criteria</formula1>
    </dataValidation>
  </dataValidations>
  <pageMargins left="0.74803149606299213" right="0.74803149606299213" top="0.98425196850393704" bottom="0.98425196850393704" header="0.51181102362204722" footer="0.51181102362204722"/>
  <pageSetup paperSize="9" scale="41" orientation="portrait" r:id="rId1"/>
  <headerFooter alignWithMargins="0">
    <oddHeader>&amp;L&amp;"Arial,Vet"&amp;9&amp;F&amp;R&amp;"Arial,Vet"&amp;9&amp;A</oddHeader>
    <oddFooter>&amp;L&amp;"Arial,Vet"&amp;9be.keizer@wxs.nl&amp;C&amp;"Arial,Vet"&amp;9pagina &amp;P&amp;R&amp;"Arial,Vet"&amp;9&amp;D</oddFooter>
  </headerFooter>
  <rowBreaks count="1" manualBreakCount="1">
    <brk id="38" min="1" max="22" man="1"/>
  </rowBreaks>
  <colBreaks count="1" manualBreakCount="1">
    <brk id="23" min="1" max="178"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T246"/>
  <sheetViews>
    <sheetView showGridLines="0" zoomScale="85" zoomScaleNormal="85" zoomScaleSheetLayoutView="85" workbookViewId="0">
      <selection activeCell="B2" sqref="B2"/>
    </sheetView>
  </sheetViews>
  <sheetFormatPr defaultRowHeight="12.75" x14ac:dyDescent="0.2"/>
  <cols>
    <col min="1" max="1" width="3.7109375" style="190" customWidth="1"/>
    <col min="2" max="3" width="2.7109375" style="190" customWidth="1"/>
    <col min="4" max="4" width="45.7109375" style="190" customWidth="1"/>
    <col min="5" max="5" width="0.85546875" style="190" customWidth="1"/>
    <col min="6" max="6" width="8.7109375" style="194" customWidth="1"/>
    <col min="7" max="7" width="2.7109375" style="190" customWidth="1"/>
    <col min="8" max="9" width="2.140625" style="190" customWidth="1"/>
    <col min="10" max="10" width="12.7109375" style="194" hidden="1" customWidth="1"/>
    <col min="11" max="15" width="12.7109375" style="194" customWidth="1"/>
    <col min="16" max="17" width="2.7109375" style="190" customWidth="1"/>
    <col min="18" max="16384" width="9.140625" style="190"/>
  </cols>
  <sheetData>
    <row r="2" spans="1:19" x14ac:dyDescent="0.2">
      <c r="B2" s="71"/>
      <c r="C2" s="72"/>
      <c r="D2" s="72"/>
      <c r="E2" s="72"/>
      <c r="F2" s="73"/>
      <c r="G2" s="72"/>
      <c r="H2" s="72"/>
      <c r="I2" s="72"/>
      <c r="J2" s="73"/>
      <c r="K2" s="73"/>
      <c r="L2" s="73"/>
      <c r="M2" s="73"/>
      <c r="N2" s="73"/>
      <c r="O2" s="73"/>
      <c r="P2" s="72"/>
      <c r="Q2" s="74"/>
    </row>
    <row r="3" spans="1:19" x14ac:dyDescent="0.2">
      <c r="B3" s="75"/>
      <c r="C3" s="76"/>
      <c r="D3" s="56"/>
      <c r="E3" s="76"/>
      <c r="F3" s="69"/>
      <c r="G3" s="76"/>
      <c r="H3" s="76"/>
      <c r="I3" s="76"/>
      <c r="J3" s="69"/>
      <c r="K3" s="69"/>
      <c r="L3" s="69"/>
      <c r="M3" s="69"/>
      <c r="N3" s="69"/>
      <c r="O3" s="69"/>
      <c r="P3" s="76"/>
      <c r="Q3" s="77"/>
    </row>
    <row r="4" spans="1:19" s="167" customFormat="1" ht="18.75" x14ac:dyDescent="0.3">
      <c r="B4" s="172"/>
      <c r="C4" s="580" t="s">
        <v>45</v>
      </c>
      <c r="D4" s="174"/>
      <c r="E4" s="174"/>
      <c r="F4" s="175"/>
      <c r="G4" s="174"/>
      <c r="H4" s="174"/>
      <c r="I4" s="174"/>
      <c r="J4" s="175"/>
      <c r="K4" s="175"/>
      <c r="L4" s="175"/>
      <c r="M4" s="175"/>
      <c r="N4" s="175"/>
      <c r="O4" s="175"/>
      <c r="P4" s="174"/>
      <c r="Q4" s="176"/>
    </row>
    <row r="5" spans="1:19" s="168" customFormat="1" ht="18.75" x14ac:dyDescent="0.3">
      <c r="B5" s="26"/>
      <c r="C5" s="1358" t="str">
        <f>'geg ll'!C5</f>
        <v>Voorbeeld SWV VO Alkmaar</v>
      </c>
      <c r="D5" s="57"/>
      <c r="E5" s="27"/>
      <c r="F5" s="177"/>
      <c r="G5" s="27"/>
      <c r="H5" s="27"/>
      <c r="I5" s="27"/>
      <c r="J5" s="177"/>
      <c r="K5" s="177"/>
      <c r="L5" s="177"/>
      <c r="M5" s="177"/>
      <c r="N5" s="177"/>
      <c r="O5" s="177"/>
      <c r="P5" s="27"/>
      <c r="Q5" s="28"/>
    </row>
    <row r="6" spans="1:19" x14ac:dyDescent="0.2">
      <c r="B6" s="75"/>
      <c r="C6" s="76"/>
      <c r="D6" s="56"/>
      <c r="E6" s="76"/>
      <c r="F6" s="69"/>
      <c r="G6" s="76"/>
      <c r="H6" s="76"/>
      <c r="I6" s="76"/>
      <c r="J6" s="69"/>
      <c r="K6" s="69"/>
      <c r="L6" s="69"/>
      <c r="M6" s="69"/>
      <c r="N6" s="69"/>
      <c r="O6" s="69"/>
      <c r="P6" s="76"/>
      <c r="Q6" s="77"/>
    </row>
    <row r="7" spans="1:19" x14ac:dyDescent="0.2">
      <c r="B7" s="75"/>
      <c r="C7" s="76"/>
      <c r="D7" s="56"/>
      <c r="E7" s="76"/>
      <c r="F7" s="69"/>
      <c r="G7" s="76"/>
      <c r="H7" s="576"/>
      <c r="I7" s="576"/>
      <c r="J7" s="398"/>
      <c r="K7" s="69"/>
      <c r="L7" s="69"/>
      <c r="M7" s="69"/>
      <c r="N7" s="69"/>
      <c r="O7" s="69"/>
      <c r="P7" s="76"/>
      <c r="Q7" s="77"/>
    </row>
    <row r="8" spans="1:19" s="209" customFormat="1" x14ac:dyDescent="0.2">
      <c r="B8" s="211"/>
      <c r="C8" s="212"/>
      <c r="D8" s="212"/>
      <c r="E8" s="212"/>
      <c r="F8" s="569" t="s">
        <v>137</v>
      </c>
      <c r="G8" s="570"/>
      <c r="H8" s="576"/>
      <c r="I8" s="576"/>
      <c r="J8" s="560">
        <f>tab!F4</f>
        <v>2019</v>
      </c>
      <c r="K8" s="560">
        <f>tab!G4</f>
        <v>2020</v>
      </c>
      <c r="L8" s="560">
        <f>tab!H4</f>
        <v>2021</v>
      </c>
      <c r="M8" s="560">
        <f>tab!I4</f>
        <v>2022</v>
      </c>
      <c r="N8" s="560">
        <f>tab!J4</f>
        <v>2023</v>
      </c>
      <c r="O8" s="560">
        <f>tab!K4</f>
        <v>2024</v>
      </c>
      <c r="P8" s="212"/>
      <c r="Q8" s="213"/>
      <c r="R8" s="208"/>
      <c r="S8" s="208"/>
    </row>
    <row r="9" spans="1:19" x14ac:dyDescent="0.2">
      <c r="B9" s="75"/>
      <c r="C9" s="76"/>
      <c r="D9" s="76"/>
      <c r="E9" s="76"/>
      <c r="F9" s="588"/>
      <c r="G9" s="570"/>
      <c r="H9" s="570"/>
      <c r="I9" s="570"/>
      <c r="J9" s="588"/>
      <c r="K9" s="588"/>
      <c r="L9" s="588"/>
      <c r="M9" s="588"/>
      <c r="N9" s="588"/>
      <c r="O9" s="588"/>
      <c r="P9" s="76"/>
      <c r="Q9" s="77"/>
      <c r="R9" s="109"/>
      <c r="S9" s="109"/>
    </row>
    <row r="10" spans="1:19" x14ac:dyDescent="0.2">
      <c r="A10" s="617"/>
      <c r="B10" s="75"/>
      <c r="C10" s="34"/>
      <c r="D10" s="36"/>
      <c r="E10" s="34"/>
      <c r="F10" s="182"/>
      <c r="G10" s="34"/>
      <c r="H10" s="1067"/>
      <c r="I10" s="1067"/>
      <c r="J10" s="182"/>
      <c r="K10" s="182"/>
      <c r="L10" s="182"/>
      <c r="M10" s="182"/>
      <c r="N10" s="182"/>
      <c r="O10" s="182"/>
      <c r="P10" s="34"/>
      <c r="Q10" s="77"/>
      <c r="R10" s="109"/>
      <c r="S10" s="109"/>
    </row>
    <row r="11" spans="1:19" x14ac:dyDescent="0.2">
      <c r="B11" s="75"/>
      <c r="C11" s="34"/>
      <c r="D11" s="185" t="s">
        <v>19</v>
      </c>
      <c r="E11" s="34"/>
      <c r="F11" s="182"/>
      <c r="G11" s="34"/>
      <c r="H11" s="1067"/>
      <c r="I11" s="1067"/>
      <c r="J11" s="182"/>
      <c r="K11" s="182"/>
      <c r="L11" s="182"/>
      <c r="M11" s="182"/>
      <c r="N11" s="182"/>
      <c r="O11" s="182"/>
      <c r="P11" s="34"/>
      <c r="Q11" s="77"/>
      <c r="R11" s="109"/>
      <c r="S11" s="109"/>
    </row>
    <row r="12" spans="1:19" x14ac:dyDescent="0.2">
      <c r="B12" s="75"/>
      <c r="C12" s="34"/>
      <c r="D12" s="36"/>
      <c r="E12" s="34"/>
      <c r="F12" s="182"/>
      <c r="G12" s="34"/>
      <c r="H12" s="1067"/>
      <c r="I12" s="1067"/>
      <c r="J12" s="182"/>
      <c r="K12" s="182"/>
      <c r="L12" s="182"/>
      <c r="M12" s="182"/>
      <c r="N12" s="182"/>
      <c r="O12" s="182"/>
      <c r="P12" s="34"/>
      <c r="Q12" s="77"/>
      <c r="R12" s="109"/>
      <c r="S12" s="109"/>
    </row>
    <row r="13" spans="1:19" x14ac:dyDescent="0.2">
      <c r="B13" s="75"/>
      <c r="C13" s="34"/>
      <c r="D13" s="195" t="s">
        <v>41</v>
      </c>
      <c r="E13" s="34"/>
      <c r="F13" s="182"/>
      <c r="G13" s="34"/>
      <c r="H13" s="1067"/>
      <c r="I13" s="1067"/>
      <c r="J13" s="182"/>
      <c r="K13" s="182"/>
      <c r="L13" s="182"/>
      <c r="M13" s="182"/>
      <c r="N13" s="182"/>
      <c r="O13" s="182"/>
      <c r="P13" s="34"/>
      <c r="Q13" s="77"/>
      <c r="R13" s="109"/>
      <c r="S13" s="109"/>
    </row>
    <row r="14" spans="1:19" x14ac:dyDescent="0.2">
      <c r="B14" s="75"/>
      <c r="C14" s="34"/>
      <c r="D14" s="37" t="s">
        <v>220</v>
      </c>
      <c r="E14" s="34"/>
      <c r="F14" s="182"/>
      <c r="G14" s="34"/>
      <c r="H14" s="1067"/>
      <c r="I14" s="1067"/>
      <c r="J14" s="182"/>
      <c r="K14" s="182"/>
      <c r="L14" s="182"/>
      <c r="M14" s="182"/>
      <c r="N14" s="182"/>
      <c r="O14" s="182"/>
      <c r="P14" s="34"/>
      <c r="Q14" s="77"/>
      <c r="R14" s="109"/>
      <c r="S14" s="109"/>
    </row>
    <row r="15" spans="1:19" x14ac:dyDescent="0.2">
      <c r="B15" s="75"/>
      <c r="C15" s="34"/>
      <c r="D15" s="187" t="s">
        <v>704</v>
      </c>
      <c r="E15" s="34"/>
      <c r="F15" s="182"/>
      <c r="G15" s="34"/>
      <c r="H15" s="623"/>
      <c r="I15" s="623"/>
      <c r="J15" s="623"/>
      <c r="K15" s="67">
        <f>ROUND(('geg ll'!H23+'geg ll'!H27-0.5*'geg ll'!H26)*tab!F8,0)</f>
        <v>221712</v>
      </c>
      <c r="L15" s="67">
        <f>ROUND(('geg ll'!I23+'geg ll'!I27-0.5*'geg ll'!I26)*tab!G8,0)</f>
        <v>222598</v>
      </c>
      <c r="M15" s="67">
        <f>ROUND(('geg ll'!J23+'geg ll'!J27-0.5*'geg ll'!J26)*tab!H8,0)</f>
        <v>222598</v>
      </c>
      <c r="N15" s="67">
        <f>ROUND(('geg ll'!K23+'geg ll'!K27-0.5*'geg ll'!K26)*tab!I8,0)</f>
        <v>222598</v>
      </c>
      <c r="O15" s="67">
        <f>ROUND(('geg ll'!L23+'geg ll'!L27-0.5*'geg ll'!L26)*tab!J8,0)</f>
        <v>222598</v>
      </c>
      <c r="P15" s="34"/>
      <c r="Q15" s="77"/>
      <c r="R15" s="109"/>
      <c r="S15" s="109"/>
    </row>
    <row r="16" spans="1:19" x14ac:dyDescent="0.2">
      <c r="B16" s="883"/>
      <c r="C16" s="34"/>
      <c r="D16" s="187" t="s">
        <v>719</v>
      </c>
      <c r="E16" s="34"/>
      <c r="F16" s="182"/>
      <c r="G16" s="34"/>
      <c r="H16" s="623"/>
      <c r="I16" s="623"/>
      <c r="J16" s="623"/>
      <c r="K16" s="67">
        <f>IF('geg ll'!H35=0,0,+(('geg ll'!H23+'geg ll'!H27-0.5*'geg ll'!H26)/'geg ll'!$E33*'geg ll'!$E31-'geg ll'!H21)*tab!F$11)</f>
        <v>325179.77072785329</v>
      </c>
      <c r="L16" s="67">
        <f>IF('geg ll'!I35=0,0,+(('geg ll'!I23+'geg ll'!I27-0.5*'geg ll'!I26)/'geg ll'!$E33*'geg ll'!$E31-'geg ll'!I21)*tab!G$11)</f>
        <v>331790.00454291073</v>
      </c>
      <c r="M16" s="67">
        <f>IF('geg ll'!J35=0,0,+(('geg ll'!J23+'geg ll'!J27-0.5*'geg ll'!J26)/'geg ll'!$E33*'geg ll'!$E31-'geg ll'!J21)*tab!H$11)</f>
        <v>331790.00454291073</v>
      </c>
      <c r="N16" s="67">
        <f>IF('geg ll'!K35=0,0,+(('geg ll'!K23+'geg ll'!K27-0.5*'geg ll'!K26)/'geg ll'!$E33*'geg ll'!$E31-'geg ll'!K21)*tab!I$11)</f>
        <v>331790.00454291073</v>
      </c>
      <c r="O16" s="67">
        <f>IF('geg ll'!L35=0,0,+(('geg ll'!L23+'geg ll'!L27-0.5*'geg ll'!L26)/'geg ll'!$E33*'geg ll'!$E31-'geg ll'!L21)*tab!J$11)</f>
        <v>331790.00454291073</v>
      </c>
      <c r="P16" s="34"/>
      <c r="Q16" s="77"/>
      <c r="R16" s="109"/>
      <c r="S16" s="109"/>
    </row>
    <row r="17" spans="2:19" x14ac:dyDescent="0.2">
      <c r="B17" s="883"/>
      <c r="C17" s="34"/>
      <c r="D17" s="187" t="s">
        <v>718</v>
      </c>
      <c r="E17" s="34"/>
      <c r="F17" s="182"/>
      <c r="G17" s="34"/>
      <c r="H17" s="623"/>
      <c r="I17" s="623"/>
      <c r="J17" s="623"/>
      <c r="K17" s="67">
        <f>IF('geg ll'!H35=0,0,+(('geg ll'!H23+'geg ll'!H27-0.5*'geg ll'!H26)/'geg ll'!$E33*'geg ll'!$E32-'geg ll'!H22)*tab!F$21)</f>
        <v>-5273.0497975441913</v>
      </c>
      <c r="L17" s="67">
        <f>IF('geg ll'!I35=0,0,+(('geg ll'!I23+'geg ll'!I27-0.5*'geg ll'!I26)/'geg ll'!$E33*'geg ll'!$E32-'geg ll'!I22)*tab!G$21)</f>
        <v>-13437.826144780587</v>
      </c>
      <c r="M17" s="67">
        <f>IF('geg ll'!J35=0,0,+(('geg ll'!J23+'geg ll'!J27-0.5*'geg ll'!J26)/'geg ll'!$E33*'geg ll'!$E32-'geg ll'!J22)*tab!H$21)</f>
        <v>-13437.826144780587</v>
      </c>
      <c r="N17" s="67">
        <f>IF('geg ll'!K35=0,0,+(('geg ll'!K23+'geg ll'!K27-0.5*'geg ll'!K26)/'geg ll'!$E33*'geg ll'!$E32-'geg ll'!K22)*tab!I$21)</f>
        <v>-13437.826144780587</v>
      </c>
      <c r="O17" s="67">
        <f>IF('geg ll'!L35=0,0,+(('geg ll'!L23+'geg ll'!L27-0.5*'geg ll'!L26)/'geg ll'!$E33*'geg ll'!$E32-'geg ll'!L22)*tab!J$21)</f>
        <v>-13437.826144780587</v>
      </c>
      <c r="P17" s="34"/>
      <c r="Q17" s="77"/>
      <c r="R17" s="109"/>
      <c r="S17" s="109"/>
    </row>
    <row r="18" spans="2:19" x14ac:dyDescent="0.2">
      <c r="B18" s="883"/>
      <c r="C18" s="34"/>
      <c r="D18" s="187" t="s">
        <v>732</v>
      </c>
      <c r="E18" s="34"/>
      <c r="F18" s="182"/>
      <c r="G18" s="34"/>
      <c r="H18" s="623"/>
      <c r="I18" s="623"/>
      <c r="J18" s="623"/>
      <c r="K18" s="67">
        <f>-'LWOO-PRO'!P36</f>
        <v>0</v>
      </c>
      <c r="L18" s="67">
        <f>-'LWOO-PRO'!Q36</f>
        <v>0</v>
      </c>
      <c r="M18" s="67">
        <f>-'LWOO-PRO'!R36</f>
        <v>0</v>
      </c>
      <c r="N18" s="67">
        <f>-'LWOO-PRO'!S36</f>
        <v>0</v>
      </c>
      <c r="O18" s="67">
        <f>-'LWOO-PRO'!T36</f>
        <v>0</v>
      </c>
      <c r="P18" s="34"/>
      <c r="Q18" s="77"/>
      <c r="R18" s="109"/>
      <c r="S18" s="109"/>
    </row>
    <row r="19" spans="2:19" x14ac:dyDescent="0.2">
      <c r="B19" s="75"/>
      <c r="C19" s="34"/>
      <c r="D19" s="195" t="s">
        <v>708</v>
      </c>
      <c r="E19" s="34"/>
      <c r="F19" s="182"/>
      <c r="G19" s="34"/>
      <c r="H19" s="619"/>
      <c r="I19" s="619"/>
      <c r="J19" s="619"/>
      <c r="K19" s="616">
        <f t="shared" ref="K19:O19" si="0">SUM(K15:K18)</f>
        <v>541618.72093030915</v>
      </c>
      <c r="L19" s="616">
        <f t="shared" si="0"/>
        <v>540950.17839813011</v>
      </c>
      <c r="M19" s="616">
        <f t="shared" si="0"/>
        <v>540950.17839813011</v>
      </c>
      <c r="N19" s="616">
        <f t="shared" si="0"/>
        <v>540950.17839813011</v>
      </c>
      <c r="O19" s="616">
        <f t="shared" si="0"/>
        <v>540950.17839813011</v>
      </c>
      <c r="P19" s="34"/>
      <c r="Q19" s="77"/>
      <c r="R19" s="109"/>
      <c r="S19" s="109"/>
    </row>
    <row r="20" spans="2:19" x14ac:dyDescent="0.2">
      <c r="B20" s="75"/>
      <c r="C20" s="34"/>
      <c r="D20" s="195"/>
      <c r="E20" s="34"/>
      <c r="F20" s="182"/>
      <c r="G20" s="34"/>
      <c r="H20" s="842"/>
      <c r="I20" s="842"/>
      <c r="J20" s="881"/>
      <c r="K20" s="182"/>
      <c r="L20" s="182"/>
      <c r="M20" s="182"/>
      <c r="N20" s="182"/>
      <c r="O20" s="182"/>
      <c r="P20" s="34"/>
      <c r="Q20" s="77"/>
      <c r="R20" s="109"/>
      <c r="S20" s="109"/>
    </row>
    <row r="21" spans="2:19" x14ac:dyDescent="0.2">
      <c r="B21" s="75"/>
      <c r="C21" s="34"/>
      <c r="D21" s="37" t="s">
        <v>93</v>
      </c>
      <c r="E21" s="34"/>
      <c r="F21" s="182"/>
      <c r="G21" s="34"/>
      <c r="H21" s="1067"/>
      <c r="I21" s="1067"/>
      <c r="J21" s="842"/>
      <c r="K21" s="182"/>
      <c r="L21" s="182"/>
      <c r="M21" s="182"/>
      <c r="N21" s="182"/>
      <c r="O21" s="182"/>
      <c r="P21" s="34"/>
      <c r="Q21" s="77"/>
      <c r="R21" s="109"/>
      <c r="S21" s="109"/>
    </row>
    <row r="22" spans="2:19" x14ac:dyDescent="0.2">
      <c r="B22" s="75"/>
      <c r="C22" s="34"/>
      <c r="D22" s="508"/>
      <c r="E22" s="34"/>
      <c r="F22" s="182"/>
      <c r="G22" s="34"/>
      <c r="H22" s="881"/>
      <c r="I22" s="881"/>
      <c r="J22" s="1564"/>
      <c r="K22" s="511">
        <f t="shared" ref="K22:O22" si="1">+J22</f>
        <v>0</v>
      </c>
      <c r="L22" s="511">
        <f t="shared" si="1"/>
        <v>0</v>
      </c>
      <c r="M22" s="511">
        <f t="shared" si="1"/>
        <v>0</v>
      </c>
      <c r="N22" s="511">
        <f t="shared" si="1"/>
        <v>0</v>
      </c>
      <c r="O22" s="1443">
        <f t="shared" si="1"/>
        <v>0</v>
      </c>
      <c r="P22" s="400"/>
      <c r="Q22" s="77"/>
      <c r="R22" s="109"/>
      <c r="S22" s="109"/>
    </row>
    <row r="23" spans="2:19" x14ac:dyDescent="0.2">
      <c r="B23" s="75"/>
      <c r="C23" s="34"/>
      <c r="D23" s="508"/>
      <c r="E23" s="34"/>
      <c r="F23" s="182"/>
      <c r="G23" s="34"/>
      <c r="H23" s="881"/>
      <c r="I23" s="881"/>
      <c r="J23" s="1564"/>
      <c r="K23" s="511">
        <f t="shared" ref="K23:O25" si="2">+J23</f>
        <v>0</v>
      </c>
      <c r="L23" s="511">
        <f t="shared" si="2"/>
        <v>0</v>
      </c>
      <c r="M23" s="511">
        <f t="shared" si="2"/>
        <v>0</v>
      </c>
      <c r="N23" s="511">
        <f t="shared" si="2"/>
        <v>0</v>
      </c>
      <c r="O23" s="1443">
        <f t="shared" si="2"/>
        <v>0</v>
      </c>
      <c r="P23" s="400"/>
      <c r="Q23" s="77"/>
      <c r="R23" s="109"/>
      <c r="S23" s="109"/>
    </row>
    <row r="24" spans="2:19" x14ac:dyDescent="0.2">
      <c r="B24" s="75"/>
      <c r="C24" s="34"/>
      <c r="D24" s="508"/>
      <c r="E24" s="34"/>
      <c r="F24" s="182"/>
      <c r="G24" s="34"/>
      <c r="H24" s="881"/>
      <c r="I24" s="881"/>
      <c r="J24" s="1564"/>
      <c r="K24" s="511">
        <f t="shared" si="2"/>
        <v>0</v>
      </c>
      <c r="L24" s="511">
        <f t="shared" si="2"/>
        <v>0</v>
      </c>
      <c r="M24" s="511">
        <f t="shared" si="2"/>
        <v>0</v>
      </c>
      <c r="N24" s="511">
        <f t="shared" si="2"/>
        <v>0</v>
      </c>
      <c r="O24" s="1443">
        <f t="shared" si="2"/>
        <v>0</v>
      </c>
      <c r="P24" s="400"/>
      <c r="Q24" s="77"/>
      <c r="R24" s="109"/>
      <c r="S24" s="109"/>
    </row>
    <row r="25" spans="2:19" x14ac:dyDescent="0.2">
      <c r="B25" s="75"/>
      <c r="C25" s="34"/>
      <c r="D25" s="544"/>
      <c r="E25" s="34"/>
      <c r="F25" s="182"/>
      <c r="G25" s="34"/>
      <c r="H25" s="881"/>
      <c r="I25" s="881"/>
      <c r="J25" s="1564"/>
      <c r="K25" s="511">
        <f t="shared" si="2"/>
        <v>0</v>
      </c>
      <c r="L25" s="511">
        <f t="shared" si="2"/>
        <v>0</v>
      </c>
      <c r="M25" s="511">
        <f t="shared" si="2"/>
        <v>0</v>
      </c>
      <c r="N25" s="511">
        <f t="shared" si="2"/>
        <v>0</v>
      </c>
      <c r="O25" s="1443">
        <f t="shared" si="2"/>
        <v>0</v>
      </c>
      <c r="P25" s="402"/>
      <c r="Q25" s="77"/>
      <c r="R25" s="109"/>
      <c r="S25" s="109"/>
    </row>
    <row r="26" spans="2:19" x14ac:dyDescent="0.2">
      <c r="B26" s="75"/>
      <c r="C26" s="34"/>
      <c r="D26" s="36"/>
      <c r="E26" s="34"/>
      <c r="F26" s="182"/>
      <c r="G26" s="34"/>
      <c r="H26" s="1066"/>
      <c r="I26" s="1066"/>
      <c r="J26" s="1066"/>
      <c r="K26" s="518">
        <f t="shared" ref="K26:O26" si="3">SUM(K22:K25)</f>
        <v>0</v>
      </c>
      <c r="L26" s="518">
        <f t="shared" si="3"/>
        <v>0</v>
      </c>
      <c r="M26" s="518">
        <f t="shared" si="3"/>
        <v>0</v>
      </c>
      <c r="N26" s="518">
        <f t="shared" si="3"/>
        <v>0</v>
      </c>
      <c r="O26" s="518">
        <f t="shared" si="3"/>
        <v>0</v>
      </c>
      <c r="P26" s="401"/>
      <c r="Q26" s="77"/>
      <c r="R26" s="109"/>
      <c r="S26" s="109"/>
    </row>
    <row r="27" spans="2:19" x14ac:dyDescent="0.2">
      <c r="B27" s="75"/>
      <c r="C27" s="34"/>
      <c r="D27" s="50"/>
      <c r="E27" s="39"/>
      <c r="F27" s="40"/>
      <c r="G27" s="39"/>
      <c r="H27" s="879"/>
      <c r="I27" s="879"/>
      <c r="J27" s="879"/>
      <c r="K27" s="879"/>
      <c r="L27" s="879"/>
      <c r="M27" s="879"/>
      <c r="N27" s="879"/>
      <c r="O27" s="879"/>
      <c r="P27" s="401"/>
      <c r="Q27" s="77"/>
      <c r="R27" s="109"/>
      <c r="S27" s="109"/>
    </row>
    <row r="28" spans="2:19" x14ac:dyDescent="0.2">
      <c r="B28" s="75"/>
      <c r="C28" s="34"/>
      <c r="D28" s="581" t="s">
        <v>537</v>
      </c>
      <c r="E28" s="39"/>
      <c r="F28" s="40"/>
      <c r="G28" s="39"/>
      <c r="H28" s="879"/>
      <c r="I28" s="879"/>
      <c r="J28" s="879"/>
      <c r="K28" s="870">
        <f t="shared" ref="K28:O28" si="4">+K19+K26</f>
        <v>541618.72093030915</v>
      </c>
      <c r="L28" s="870">
        <f t="shared" si="4"/>
        <v>540950.17839813011</v>
      </c>
      <c r="M28" s="870">
        <f t="shared" si="4"/>
        <v>540950.17839813011</v>
      </c>
      <c r="N28" s="870">
        <f t="shared" si="4"/>
        <v>540950.17839813011</v>
      </c>
      <c r="O28" s="870">
        <f t="shared" si="4"/>
        <v>540950.17839813011</v>
      </c>
      <c r="P28" s="401"/>
      <c r="Q28" s="77"/>
      <c r="R28" s="109"/>
      <c r="S28" s="109"/>
    </row>
    <row r="29" spans="2:19" x14ac:dyDescent="0.2">
      <c r="B29" s="75"/>
      <c r="C29" s="34"/>
      <c r="D29" s="50"/>
      <c r="E29" s="39"/>
      <c r="F29" s="40"/>
      <c r="G29" s="880"/>
      <c r="H29" s="879"/>
      <c r="I29" s="879"/>
      <c r="J29" s="879"/>
      <c r="K29" s="879"/>
      <c r="L29" s="879"/>
      <c r="M29" s="879"/>
      <c r="N29" s="879"/>
      <c r="O29" s="879"/>
      <c r="P29" s="401"/>
      <c r="Q29" s="77"/>
      <c r="R29" s="109"/>
      <c r="S29" s="109"/>
    </row>
    <row r="30" spans="2:19" x14ac:dyDescent="0.2">
      <c r="B30" s="75"/>
      <c r="C30" s="34"/>
      <c r="D30" s="513"/>
      <c r="E30" s="514"/>
      <c r="F30" s="515"/>
      <c r="G30" s="514"/>
      <c r="H30" s="515"/>
      <c r="I30" s="515"/>
      <c r="J30" s="1582"/>
      <c r="K30" s="515"/>
      <c r="L30" s="515"/>
      <c r="M30" s="515"/>
      <c r="N30" s="515"/>
      <c r="O30" s="515"/>
      <c r="P30" s="401"/>
      <c r="Q30" s="77"/>
      <c r="R30" s="109"/>
      <c r="S30" s="109"/>
    </row>
    <row r="31" spans="2:19" x14ac:dyDescent="0.2">
      <c r="B31" s="75"/>
      <c r="C31" s="34"/>
      <c r="D31" s="512"/>
      <c r="E31" s="485"/>
      <c r="F31" s="78"/>
      <c r="G31" s="485"/>
      <c r="H31" s="78"/>
      <c r="I31" s="78"/>
      <c r="J31" s="857"/>
      <c r="K31" s="78"/>
      <c r="L31" s="78"/>
      <c r="M31" s="78"/>
      <c r="N31" s="78"/>
      <c r="O31" s="78"/>
      <c r="P31" s="36"/>
      <c r="Q31" s="77"/>
      <c r="R31" s="109"/>
      <c r="S31" s="109"/>
    </row>
    <row r="32" spans="2:19" x14ac:dyDescent="0.2">
      <c r="B32" s="75"/>
      <c r="C32" s="187"/>
      <c r="D32" s="195" t="s">
        <v>42</v>
      </c>
      <c r="E32" s="187"/>
      <c r="F32" s="70"/>
      <c r="G32" s="187"/>
      <c r="H32" s="187"/>
      <c r="I32" s="187"/>
      <c r="J32" s="622"/>
      <c r="K32" s="70"/>
      <c r="L32" s="70"/>
      <c r="M32" s="70"/>
      <c r="N32" s="70"/>
      <c r="O32" s="70"/>
      <c r="P32" s="187"/>
      <c r="Q32" s="77"/>
      <c r="R32" s="109"/>
      <c r="S32" s="109"/>
    </row>
    <row r="33" spans="2:19" x14ac:dyDescent="0.2">
      <c r="B33" s="75"/>
      <c r="C33" s="187"/>
      <c r="D33" s="187" t="s">
        <v>377</v>
      </c>
      <c r="E33" s="187"/>
      <c r="F33" s="70"/>
      <c r="G33" s="187"/>
      <c r="H33" s="618"/>
      <c r="I33" s="618"/>
      <c r="J33" s="623"/>
      <c r="K33" s="67">
        <f>ROUND('geg ll'!H61*tab!F30,2)</f>
        <v>460513.2</v>
      </c>
      <c r="L33" s="67">
        <f>ROUND(('geg ll'!I60+'geg ll'!I27-0.5*'geg ll'!I26)*tab!G30,2)</f>
        <v>444904</v>
      </c>
      <c r="M33" s="67">
        <f>ROUND(('geg ll'!J60+'geg ll'!J27-0.5*'geg ll'!J26)*tab!H30,2)</f>
        <v>444904</v>
      </c>
      <c r="N33" s="67">
        <f>ROUND(('geg ll'!K60+'geg ll'!K27-0.5*'geg ll'!K26)*tab!I30,2)</f>
        <v>444904</v>
      </c>
      <c r="O33" s="67">
        <f>ROUND(('geg ll'!L60+'geg ll'!L27-0.5*'geg ll'!L26)*tab!J30,2)</f>
        <v>444904</v>
      </c>
      <c r="P33" s="187"/>
      <c r="Q33" s="77"/>
      <c r="R33" s="109"/>
      <c r="S33" s="109"/>
    </row>
    <row r="34" spans="2:19" x14ac:dyDescent="0.2">
      <c r="B34" s="883"/>
      <c r="C34" s="187"/>
      <c r="D34" s="187" t="s">
        <v>607</v>
      </c>
      <c r="E34" s="187"/>
      <c r="F34" s="70"/>
      <c r="G34" s="187"/>
      <c r="H34" s="618"/>
      <c r="I34" s="618"/>
      <c r="J34" s="623"/>
      <c r="K34" s="67">
        <f>+'overdr VSO'!J23</f>
        <v>0</v>
      </c>
      <c r="L34" s="67">
        <f>+'overdr VSO'!K23</f>
        <v>0</v>
      </c>
      <c r="M34" s="67">
        <f>+'overdr VSO'!L23</f>
        <v>0</v>
      </c>
      <c r="N34" s="67">
        <f>+'overdr VSO'!M23</f>
        <v>0</v>
      </c>
      <c r="O34" s="67">
        <f>+'overdr VSO'!N23</f>
        <v>0</v>
      </c>
      <c r="P34" s="187"/>
      <c r="Q34" s="816"/>
      <c r="R34" s="109"/>
      <c r="S34" s="109"/>
    </row>
    <row r="35" spans="2:19" x14ac:dyDescent="0.2">
      <c r="B35" s="883"/>
      <c r="C35" s="187"/>
      <c r="D35" s="187" t="s">
        <v>608</v>
      </c>
      <c r="E35" s="187"/>
      <c r="F35" s="70"/>
      <c r="G35" s="187"/>
      <c r="H35" s="618"/>
      <c r="I35" s="618"/>
      <c r="J35" s="623"/>
      <c r="K35" s="67">
        <f>+'peild VSO'!H31</f>
        <v>0</v>
      </c>
      <c r="L35" s="67">
        <f>+'peild VSO'!I31</f>
        <v>0</v>
      </c>
      <c r="M35" s="67">
        <f>+'peild VSO'!J31</f>
        <v>0</v>
      </c>
      <c r="N35" s="67">
        <f>+'peild VSO'!K31</f>
        <v>0</v>
      </c>
      <c r="O35" s="67">
        <f>+'peild VSO'!L31</f>
        <v>0</v>
      </c>
      <c r="P35" s="187"/>
      <c r="Q35" s="816"/>
      <c r="R35" s="109"/>
      <c r="S35" s="109"/>
    </row>
    <row r="36" spans="2:19" x14ac:dyDescent="0.2">
      <c r="B36" s="75"/>
      <c r="C36" s="187"/>
      <c r="D36" s="187"/>
      <c r="E36" s="187"/>
      <c r="F36" s="70"/>
      <c r="G36" s="187"/>
      <c r="H36" s="623"/>
      <c r="I36" s="623"/>
      <c r="J36" s="623"/>
      <c r="K36" s="218"/>
      <c r="L36" s="218"/>
      <c r="M36" s="218"/>
      <c r="N36" s="218"/>
      <c r="O36" s="218"/>
      <c r="P36" s="187"/>
      <c r="Q36" s="77"/>
      <c r="R36" s="109"/>
      <c r="S36" s="109"/>
    </row>
    <row r="37" spans="2:19" x14ac:dyDescent="0.2">
      <c r="B37" s="75"/>
      <c r="C37" s="187"/>
      <c r="D37" s="37" t="s">
        <v>93</v>
      </c>
      <c r="E37" s="187"/>
      <c r="F37" s="70"/>
      <c r="G37" s="187"/>
      <c r="H37" s="623"/>
      <c r="I37" s="623"/>
      <c r="J37" s="622"/>
      <c r="K37" s="70"/>
      <c r="L37" s="70"/>
      <c r="M37" s="70"/>
      <c r="N37" s="70"/>
      <c r="O37" s="70"/>
      <c r="P37" s="187"/>
      <c r="Q37" s="77"/>
      <c r="R37" s="109"/>
      <c r="S37" s="109"/>
    </row>
    <row r="38" spans="2:19" x14ac:dyDescent="0.2">
      <c r="B38" s="75"/>
      <c r="C38" s="187"/>
      <c r="D38" s="187" t="s">
        <v>479</v>
      </c>
      <c r="E38" s="187"/>
      <c r="F38" s="70"/>
      <c r="G38" s="187"/>
      <c r="H38" s="881"/>
      <c r="I38" s="881"/>
      <c r="J38" s="881"/>
      <c r="K38" s="881"/>
      <c r="L38" s="881"/>
      <c r="M38" s="881"/>
      <c r="N38" s="881"/>
      <c r="O38" s="881"/>
      <c r="P38" s="218"/>
      <c r="Q38" s="77"/>
      <c r="R38" s="109"/>
      <c r="S38" s="109"/>
    </row>
    <row r="39" spans="2:19" x14ac:dyDescent="0.2">
      <c r="B39" s="75"/>
      <c r="C39" s="187"/>
      <c r="D39" s="509"/>
      <c r="E39" s="187"/>
      <c r="F39" s="70"/>
      <c r="G39" s="187"/>
      <c r="H39" s="881"/>
      <c r="I39" s="881"/>
      <c r="J39" s="1564"/>
      <c r="K39" s="511">
        <f t="shared" ref="K39:O39" si="5">+J39</f>
        <v>0</v>
      </c>
      <c r="L39" s="511">
        <f t="shared" si="5"/>
        <v>0</v>
      </c>
      <c r="M39" s="511">
        <f t="shared" si="5"/>
        <v>0</v>
      </c>
      <c r="N39" s="511">
        <f t="shared" si="5"/>
        <v>0</v>
      </c>
      <c r="O39" s="1443">
        <f t="shared" si="5"/>
        <v>0</v>
      </c>
      <c r="P39" s="218"/>
      <c r="Q39" s="816"/>
      <c r="R39" s="109"/>
      <c r="S39" s="109"/>
    </row>
    <row r="40" spans="2:19" x14ac:dyDescent="0.2">
      <c r="B40" s="75"/>
      <c r="C40" s="187"/>
      <c r="D40" s="509"/>
      <c r="E40" s="187"/>
      <c r="F40" s="70"/>
      <c r="G40" s="187"/>
      <c r="H40" s="881"/>
      <c r="I40" s="881"/>
      <c r="J40" s="1564"/>
      <c r="K40" s="511">
        <f t="shared" ref="K40:O42" si="6">+J40</f>
        <v>0</v>
      </c>
      <c r="L40" s="511">
        <f t="shared" si="6"/>
        <v>0</v>
      </c>
      <c r="M40" s="511">
        <f t="shared" si="6"/>
        <v>0</v>
      </c>
      <c r="N40" s="511">
        <f t="shared" si="6"/>
        <v>0</v>
      </c>
      <c r="O40" s="1443">
        <f t="shared" si="6"/>
        <v>0</v>
      </c>
      <c r="P40" s="218"/>
      <c r="Q40" s="77"/>
      <c r="R40" s="109"/>
      <c r="S40" s="109"/>
    </row>
    <row r="41" spans="2:19" s="192" customFormat="1" x14ac:dyDescent="0.2">
      <c r="B41" s="79"/>
      <c r="C41" s="187"/>
      <c r="D41" s="509"/>
      <c r="E41" s="187"/>
      <c r="F41" s="70"/>
      <c r="G41" s="187"/>
      <c r="H41" s="881"/>
      <c r="I41" s="881"/>
      <c r="J41" s="1564"/>
      <c r="K41" s="511">
        <f t="shared" si="6"/>
        <v>0</v>
      </c>
      <c r="L41" s="511">
        <f t="shared" si="6"/>
        <v>0</v>
      </c>
      <c r="M41" s="511">
        <f t="shared" si="6"/>
        <v>0</v>
      </c>
      <c r="N41" s="511">
        <f t="shared" si="6"/>
        <v>0</v>
      </c>
      <c r="O41" s="1443">
        <f t="shared" si="6"/>
        <v>0</v>
      </c>
      <c r="P41" s="218"/>
      <c r="Q41" s="90"/>
      <c r="R41" s="113"/>
      <c r="S41" s="113"/>
    </row>
    <row r="42" spans="2:19" x14ac:dyDescent="0.2">
      <c r="B42" s="75"/>
      <c r="C42" s="187"/>
      <c r="D42" s="563"/>
      <c r="E42" s="187"/>
      <c r="F42" s="70"/>
      <c r="G42" s="187"/>
      <c r="H42" s="881"/>
      <c r="I42" s="881"/>
      <c r="J42" s="1564"/>
      <c r="K42" s="511">
        <f t="shared" si="6"/>
        <v>0</v>
      </c>
      <c r="L42" s="511">
        <f t="shared" si="6"/>
        <v>0</v>
      </c>
      <c r="M42" s="511">
        <f t="shared" si="6"/>
        <v>0</v>
      </c>
      <c r="N42" s="511">
        <f t="shared" si="6"/>
        <v>0</v>
      </c>
      <c r="O42" s="1443">
        <f t="shared" si="6"/>
        <v>0</v>
      </c>
      <c r="P42" s="402"/>
      <c r="Q42" s="77"/>
      <c r="R42" s="109"/>
      <c r="S42" s="109"/>
    </row>
    <row r="43" spans="2:19" x14ac:dyDescent="0.2">
      <c r="B43" s="75"/>
      <c r="C43" s="187"/>
      <c r="D43" s="581" t="s">
        <v>868</v>
      </c>
      <c r="E43" s="187"/>
      <c r="F43" s="70"/>
      <c r="G43" s="187"/>
      <c r="H43" s="1066"/>
      <c r="I43" s="1066"/>
      <c r="J43" s="1066"/>
      <c r="K43" s="518">
        <f t="shared" ref="K43:O43" si="7">SUM(K33:K42)</f>
        <v>460513.2</v>
      </c>
      <c r="L43" s="518">
        <f t="shared" si="7"/>
        <v>444904</v>
      </c>
      <c r="M43" s="518">
        <f t="shared" si="7"/>
        <v>444904</v>
      </c>
      <c r="N43" s="518">
        <f t="shared" si="7"/>
        <v>444904</v>
      </c>
      <c r="O43" s="518">
        <f t="shared" si="7"/>
        <v>444904</v>
      </c>
      <c r="P43" s="403"/>
      <c r="Q43" s="77"/>
      <c r="R43" s="109"/>
      <c r="S43" s="109"/>
    </row>
    <row r="44" spans="2:19" s="192" customFormat="1" x14ac:dyDescent="0.2">
      <c r="B44" s="79"/>
      <c r="C44" s="187"/>
      <c r="D44" s="513"/>
      <c r="E44" s="514"/>
      <c r="F44" s="515"/>
      <c r="G44" s="514"/>
      <c r="H44" s="515"/>
      <c r="I44" s="515"/>
      <c r="J44" s="1582"/>
      <c r="K44" s="515"/>
      <c r="L44" s="515"/>
      <c r="M44" s="515"/>
      <c r="N44" s="515"/>
      <c r="O44" s="515"/>
      <c r="P44" s="195"/>
      <c r="Q44" s="90"/>
      <c r="R44" s="113"/>
      <c r="S44" s="113"/>
    </row>
    <row r="45" spans="2:19" s="192" customFormat="1" x14ac:dyDescent="0.2">
      <c r="B45" s="79"/>
      <c r="C45" s="187"/>
      <c r="D45" s="512"/>
      <c r="E45" s="485"/>
      <c r="F45" s="78"/>
      <c r="G45" s="485"/>
      <c r="H45" s="78"/>
      <c r="I45" s="78"/>
      <c r="J45" s="857"/>
      <c r="K45" s="78"/>
      <c r="L45" s="78"/>
      <c r="M45" s="78"/>
      <c r="N45" s="78"/>
      <c r="O45" s="78"/>
      <c r="P45" s="195"/>
      <c r="Q45" s="90"/>
      <c r="R45" s="113"/>
      <c r="S45" s="113"/>
    </row>
    <row r="46" spans="2:19" s="192" customFormat="1" x14ac:dyDescent="0.2">
      <c r="B46" s="79"/>
      <c r="C46" s="187"/>
      <c r="D46" s="195" t="s">
        <v>539</v>
      </c>
      <c r="E46" s="34"/>
      <c r="F46" s="182"/>
      <c r="G46" s="34"/>
      <c r="H46" s="856"/>
      <c r="I46" s="856"/>
      <c r="J46" s="856"/>
      <c r="K46" s="519">
        <f t="shared" ref="K46:O46" si="8">K28+K43</f>
        <v>1002131.9209303092</v>
      </c>
      <c r="L46" s="519">
        <f t="shared" si="8"/>
        <v>985854.17839813011</v>
      </c>
      <c r="M46" s="519">
        <f t="shared" si="8"/>
        <v>985854.17839813011</v>
      </c>
      <c r="N46" s="519">
        <f t="shared" si="8"/>
        <v>985854.17839813011</v>
      </c>
      <c r="O46" s="519">
        <f t="shared" si="8"/>
        <v>985854.17839813011</v>
      </c>
      <c r="P46" s="195"/>
      <c r="Q46" s="90"/>
      <c r="R46" s="113"/>
      <c r="S46" s="113"/>
    </row>
    <row r="47" spans="2:19" s="192" customFormat="1" x14ac:dyDescent="0.2">
      <c r="B47" s="79"/>
      <c r="C47" s="187"/>
      <c r="D47" s="195"/>
      <c r="E47" s="187"/>
      <c r="F47" s="70"/>
      <c r="G47" s="187"/>
      <c r="H47" s="187"/>
      <c r="I47" s="187"/>
      <c r="J47" s="1583"/>
      <c r="K47" s="195"/>
      <c r="L47" s="195"/>
      <c r="M47" s="195"/>
      <c r="N47" s="195"/>
      <c r="O47" s="195"/>
      <c r="P47" s="195"/>
      <c r="Q47" s="90"/>
      <c r="R47" s="113"/>
      <c r="S47" s="113"/>
    </row>
    <row r="48" spans="2:19" x14ac:dyDescent="0.2">
      <c r="B48" s="75"/>
      <c r="C48" s="76"/>
      <c r="D48" s="76"/>
      <c r="E48" s="76"/>
      <c r="F48" s="69"/>
      <c r="G48" s="76"/>
      <c r="H48" s="76"/>
      <c r="I48" s="76"/>
      <c r="J48" s="69"/>
      <c r="K48" s="69"/>
      <c r="L48" s="69"/>
      <c r="M48" s="69"/>
      <c r="N48" s="69"/>
      <c r="O48" s="69"/>
      <c r="P48" s="76"/>
      <c r="Q48" s="77"/>
      <c r="R48" s="109"/>
      <c r="S48" s="109"/>
    </row>
    <row r="49" spans="2:19" x14ac:dyDescent="0.2">
      <c r="B49" s="75"/>
      <c r="C49" s="187"/>
      <c r="D49" s="195"/>
      <c r="E49" s="187"/>
      <c r="F49" s="70"/>
      <c r="G49" s="187"/>
      <c r="H49" s="187"/>
      <c r="I49" s="187"/>
      <c r="J49" s="70"/>
      <c r="K49" s="70"/>
      <c r="L49" s="70"/>
      <c r="M49" s="70"/>
      <c r="N49" s="70"/>
      <c r="O49" s="70"/>
      <c r="P49" s="187"/>
      <c r="Q49" s="77"/>
      <c r="R49" s="109"/>
      <c r="S49" s="109"/>
    </row>
    <row r="50" spans="2:19" x14ac:dyDescent="0.2">
      <c r="B50" s="75"/>
      <c r="C50" s="187"/>
      <c r="D50" s="567" t="s">
        <v>168</v>
      </c>
      <c r="E50" s="187"/>
      <c r="F50" s="70"/>
      <c r="G50" s="187"/>
      <c r="H50" s="187"/>
      <c r="I50" s="187"/>
      <c r="J50" s="70"/>
      <c r="K50" s="70"/>
      <c r="L50" s="70"/>
      <c r="M50" s="70"/>
      <c r="N50" s="70"/>
      <c r="O50" s="70"/>
      <c r="P50" s="187"/>
      <c r="Q50" s="77"/>
      <c r="R50" s="109"/>
      <c r="S50" s="109"/>
    </row>
    <row r="51" spans="2:19" x14ac:dyDescent="0.2">
      <c r="B51" s="75"/>
      <c r="C51" s="187"/>
      <c r="D51" s="195"/>
      <c r="E51" s="187"/>
      <c r="F51" s="70"/>
      <c r="G51" s="187"/>
      <c r="H51" s="187"/>
      <c r="I51" s="187"/>
      <c r="J51" s="70"/>
      <c r="K51" s="70"/>
      <c r="L51" s="70"/>
      <c r="M51" s="70"/>
      <c r="N51" s="70"/>
      <c r="O51" s="70"/>
      <c r="P51" s="187"/>
      <c r="Q51" s="77"/>
      <c r="R51" s="109"/>
      <c r="S51" s="109"/>
    </row>
    <row r="52" spans="2:19" x14ac:dyDescent="0.2">
      <c r="B52" s="75"/>
      <c r="C52" s="187"/>
      <c r="D52" s="195" t="s">
        <v>41</v>
      </c>
      <c r="E52" s="187"/>
      <c r="F52" s="70"/>
      <c r="G52" s="187"/>
      <c r="H52" s="187"/>
      <c r="I52" s="187"/>
      <c r="J52" s="622"/>
      <c r="K52" s="70"/>
      <c r="L52" s="70"/>
      <c r="M52" s="70"/>
      <c r="N52" s="70"/>
      <c r="O52" s="70"/>
      <c r="P52" s="187"/>
      <c r="Q52" s="77"/>
      <c r="R52" s="109"/>
      <c r="S52" s="109"/>
    </row>
    <row r="53" spans="2:19" x14ac:dyDescent="0.2">
      <c r="B53" s="75"/>
      <c r="C53" s="187"/>
      <c r="D53" s="509" t="s">
        <v>106</v>
      </c>
      <c r="E53" s="187"/>
      <c r="F53" s="70"/>
      <c r="G53" s="187"/>
      <c r="H53" s="623"/>
      <c r="I53" s="623"/>
      <c r="J53" s="1569"/>
      <c r="K53" s="66">
        <f t="shared" ref="K53:O53" si="9">+J53</f>
        <v>0</v>
      </c>
      <c r="L53" s="66">
        <f t="shared" si="9"/>
        <v>0</v>
      </c>
      <c r="M53" s="66">
        <f t="shared" si="9"/>
        <v>0</v>
      </c>
      <c r="N53" s="66">
        <f t="shared" si="9"/>
        <v>0</v>
      </c>
      <c r="O53" s="1444">
        <f t="shared" si="9"/>
        <v>0</v>
      </c>
      <c r="P53" s="218"/>
      <c r="Q53" s="77"/>
      <c r="R53" s="109"/>
      <c r="S53" s="109"/>
    </row>
    <row r="54" spans="2:19" s="192" customFormat="1" x14ac:dyDescent="0.2">
      <c r="B54" s="79"/>
      <c r="C54" s="187"/>
      <c r="D54" s="509"/>
      <c r="E54" s="187"/>
      <c r="F54" s="70"/>
      <c r="G54" s="187"/>
      <c r="H54" s="623"/>
      <c r="I54" s="623"/>
      <c r="J54" s="1569"/>
      <c r="K54" s="66">
        <f t="shared" ref="K54:O55" si="10">+J54</f>
        <v>0</v>
      </c>
      <c r="L54" s="66">
        <f t="shared" si="10"/>
        <v>0</v>
      </c>
      <c r="M54" s="66">
        <f t="shared" si="10"/>
        <v>0</v>
      </c>
      <c r="N54" s="66">
        <f t="shared" si="10"/>
        <v>0</v>
      </c>
      <c r="O54" s="1444">
        <f t="shared" si="10"/>
        <v>0</v>
      </c>
      <c r="P54" s="218"/>
      <c r="Q54" s="90"/>
      <c r="R54" s="113"/>
      <c r="S54" s="113"/>
    </row>
    <row r="55" spans="2:19" x14ac:dyDescent="0.2">
      <c r="B55" s="75"/>
      <c r="C55" s="187"/>
      <c r="D55" s="509"/>
      <c r="E55" s="187"/>
      <c r="F55" s="70"/>
      <c r="G55" s="187"/>
      <c r="H55" s="623"/>
      <c r="I55" s="623"/>
      <c r="J55" s="1569"/>
      <c r="K55" s="66">
        <f t="shared" si="10"/>
        <v>0</v>
      </c>
      <c r="L55" s="66">
        <f t="shared" si="10"/>
        <v>0</v>
      </c>
      <c r="M55" s="66">
        <f t="shared" si="10"/>
        <v>0</v>
      </c>
      <c r="N55" s="66">
        <f t="shared" si="10"/>
        <v>0</v>
      </c>
      <c r="O55" s="1444">
        <f t="shared" si="10"/>
        <v>0</v>
      </c>
      <c r="P55" s="218"/>
      <c r="Q55" s="77"/>
      <c r="R55" s="109"/>
      <c r="S55" s="109"/>
    </row>
    <row r="56" spans="2:19" x14ac:dyDescent="0.2">
      <c r="B56" s="75"/>
      <c r="C56" s="187"/>
      <c r="D56" s="195"/>
      <c r="E56" s="187"/>
      <c r="F56" s="70"/>
      <c r="G56" s="187"/>
      <c r="H56" s="1066"/>
      <c r="I56" s="1066"/>
      <c r="J56" s="1066"/>
      <c r="K56" s="518">
        <f t="shared" ref="K56:O56" si="11">SUM(K53:K55)</f>
        <v>0</v>
      </c>
      <c r="L56" s="518">
        <f t="shared" si="11"/>
        <v>0</v>
      </c>
      <c r="M56" s="518">
        <f t="shared" si="11"/>
        <v>0</v>
      </c>
      <c r="N56" s="518">
        <f t="shared" si="11"/>
        <v>0</v>
      </c>
      <c r="O56" s="518">
        <f t="shared" si="11"/>
        <v>0</v>
      </c>
      <c r="P56" s="218"/>
      <c r="Q56" s="77"/>
      <c r="R56" s="109"/>
      <c r="S56" s="109"/>
    </row>
    <row r="57" spans="2:19" x14ac:dyDescent="0.2">
      <c r="B57" s="75"/>
      <c r="C57" s="187"/>
      <c r="D57" s="513"/>
      <c r="E57" s="514"/>
      <c r="F57" s="515"/>
      <c r="G57" s="514"/>
      <c r="H57" s="515"/>
      <c r="I57" s="515"/>
      <c r="J57" s="1582"/>
      <c r="K57" s="515"/>
      <c r="L57" s="515"/>
      <c r="M57" s="515"/>
      <c r="N57" s="515"/>
      <c r="O57" s="515"/>
      <c r="P57" s="70"/>
      <c r="Q57" s="77"/>
      <c r="R57" s="109"/>
      <c r="S57" s="109"/>
    </row>
    <row r="58" spans="2:19" x14ac:dyDescent="0.2">
      <c r="B58" s="75"/>
      <c r="C58" s="187"/>
      <c r="D58" s="512"/>
      <c r="E58" s="485"/>
      <c r="F58" s="78"/>
      <c r="G58" s="485"/>
      <c r="H58" s="78"/>
      <c r="I58" s="78"/>
      <c r="J58" s="857"/>
      <c r="K58" s="78"/>
      <c r="L58" s="78"/>
      <c r="M58" s="78"/>
      <c r="N58" s="78"/>
      <c r="O58" s="78"/>
      <c r="P58" s="70"/>
      <c r="Q58" s="77"/>
      <c r="R58" s="109"/>
      <c r="S58" s="109"/>
    </row>
    <row r="59" spans="2:19" x14ac:dyDescent="0.2">
      <c r="B59" s="75"/>
      <c r="C59" s="187"/>
      <c r="D59" s="195" t="s">
        <v>42</v>
      </c>
      <c r="E59" s="34"/>
      <c r="F59" s="182"/>
      <c r="G59" s="34"/>
      <c r="H59" s="182"/>
      <c r="I59" s="182"/>
      <c r="J59" s="842"/>
      <c r="K59" s="182"/>
      <c r="L59" s="182"/>
      <c r="M59" s="182"/>
      <c r="N59" s="182"/>
      <c r="O59" s="182"/>
      <c r="P59" s="70"/>
      <c r="Q59" s="77"/>
      <c r="R59" s="109"/>
      <c r="S59" s="109"/>
    </row>
    <row r="60" spans="2:19" x14ac:dyDescent="0.2">
      <c r="B60" s="75"/>
      <c r="C60" s="187"/>
      <c r="D60" s="509" t="s">
        <v>106</v>
      </c>
      <c r="E60" s="187"/>
      <c r="F60" s="70"/>
      <c r="G60" s="187"/>
      <c r="H60" s="623"/>
      <c r="I60" s="623"/>
      <c r="J60" s="1569"/>
      <c r="K60" s="66">
        <f t="shared" ref="K60:O60" si="12">+J60</f>
        <v>0</v>
      </c>
      <c r="L60" s="66">
        <f t="shared" si="12"/>
        <v>0</v>
      </c>
      <c r="M60" s="66">
        <f t="shared" si="12"/>
        <v>0</v>
      </c>
      <c r="N60" s="66">
        <f t="shared" si="12"/>
        <v>0</v>
      </c>
      <c r="O60" s="1444">
        <f t="shared" si="12"/>
        <v>0</v>
      </c>
      <c r="P60" s="70"/>
      <c r="Q60" s="77"/>
      <c r="R60" s="109"/>
      <c r="S60" s="109"/>
    </row>
    <row r="61" spans="2:19" x14ac:dyDescent="0.2">
      <c r="B61" s="75"/>
      <c r="C61" s="187"/>
      <c r="D61" s="509"/>
      <c r="E61" s="187"/>
      <c r="F61" s="70"/>
      <c r="G61" s="187"/>
      <c r="H61" s="623"/>
      <c r="I61" s="623"/>
      <c r="J61" s="1569"/>
      <c r="K61" s="66">
        <f t="shared" ref="K61:O62" si="13">+J61</f>
        <v>0</v>
      </c>
      <c r="L61" s="66">
        <f t="shared" si="13"/>
        <v>0</v>
      </c>
      <c r="M61" s="66">
        <f t="shared" si="13"/>
        <v>0</v>
      </c>
      <c r="N61" s="66">
        <f t="shared" si="13"/>
        <v>0</v>
      </c>
      <c r="O61" s="1444">
        <f t="shared" si="13"/>
        <v>0</v>
      </c>
      <c r="P61" s="70"/>
      <c r="Q61" s="77"/>
      <c r="R61" s="109"/>
      <c r="S61" s="109"/>
    </row>
    <row r="62" spans="2:19" x14ac:dyDescent="0.2">
      <c r="B62" s="75"/>
      <c r="C62" s="187"/>
      <c r="D62" s="509"/>
      <c r="E62" s="187"/>
      <c r="F62" s="70"/>
      <c r="G62" s="187"/>
      <c r="H62" s="623"/>
      <c r="I62" s="623"/>
      <c r="J62" s="1569"/>
      <c r="K62" s="66">
        <f t="shared" si="13"/>
        <v>0</v>
      </c>
      <c r="L62" s="66">
        <f t="shared" si="13"/>
        <v>0</v>
      </c>
      <c r="M62" s="66">
        <f t="shared" si="13"/>
        <v>0</v>
      </c>
      <c r="N62" s="66">
        <f t="shared" si="13"/>
        <v>0</v>
      </c>
      <c r="O62" s="1444">
        <f t="shared" si="13"/>
        <v>0</v>
      </c>
      <c r="P62" s="70"/>
      <c r="Q62" s="77"/>
      <c r="R62" s="109"/>
      <c r="S62" s="109"/>
    </row>
    <row r="63" spans="2:19" x14ac:dyDescent="0.2">
      <c r="B63" s="75"/>
      <c r="C63" s="187"/>
      <c r="D63" s="195"/>
      <c r="E63" s="187"/>
      <c r="F63" s="70"/>
      <c r="G63" s="187"/>
      <c r="H63" s="1066"/>
      <c r="I63" s="1066"/>
      <c r="J63" s="1066"/>
      <c r="K63" s="518">
        <f t="shared" ref="K63:O63" si="14">SUM(K60:K62)</f>
        <v>0</v>
      </c>
      <c r="L63" s="518">
        <f t="shared" si="14"/>
        <v>0</v>
      </c>
      <c r="M63" s="518">
        <f t="shared" si="14"/>
        <v>0</v>
      </c>
      <c r="N63" s="518">
        <f t="shared" si="14"/>
        <v>0</v>
      </c>
      <c r="O63" s="518">
        <f t="shared" si="14"/>
        <v>0</v>
      </c>
      <c r="P63" s="70"/>
      <c r="Q63" s="77"/>
      <c r="R63" s="109"/>
      <c r="S63" s="109"/>
    </row>
    <row r="64" spans="2:19" x14ac:dyDescent="0.2">
      <c r="B64" s="75"/>
      <c r="C64" s="187"/>
      <c r="D64" s="513"/>
      <c r="E64" s="514"/>
      <c r="F64" s="515"/>
      <c r="G64" s="514"/>
      <c r="H64" s="515"/>
      <c r="I64" s="515"/>
      <c r="J64" s="1582"/>
      <c r="K64" s="515"/>
      <c r="L64" s="515"/>
      <c r="M64" s="515"/>
      <c r="N64" s="515"/>
      <c r="O64" s="515"/>
      <c r="P64" s="70"/>
      <c r="Q64" s="77"/>
      <c r="R64" s="109"/>
      <c r="S64" s="109"/>
    </row>
    <row r="65" spans="2:19" x14ac:dyDescent="0.2">
      <c r="B65" s="75"/>
      <c r="C65" s="187"/>
      <c r="D65" s="512"/>
      <c r="E65" s="485"/>
      <c r="F65" s="78"/>
      <c r="G65" s="485"/>
      <c r="H65" s="78"/>
      <c r="I65" s="78"/>
      <c r="J65" s="857"/>
      <c r="K65" s="78"/>
      <c r="L65" s="78"/>
      <c r="M65" s="78"/>
      <c r="N65" s="78"/>
      <c r="O65" s="78"/>
      <c r="P65" s="70"/>
      <c r="Q65" s="77"/>
      <c r="R65" s="109"/>
      <c r="S65" s="109"/>
    </row>
    <row r="66" spans="2:19" x14ac:dyDescent="0.2">
      <c r="B66" s="75"/>
      <c r="C66" s="187"/>
      <c r="D66" s="195" t="s">
        <v>132</v>
      </c>
      <c r="E66" s="187"/>
      <c r="F66" s="70"/>
      <c r="G66" s="187"/>
      <c r="H66" s="856"/>
      <c r="I66" s="856"/>
      <c r="J66" s="856"/>
      <c r="K66" s="519">
        <f t="shared" ref="K66:O66" si="15">K56+K63</f>
        <v>0</v>
      </c>
      <c r="L66" s="519">
        <f t="shared" si="15"/>
        <v>0</v>
      </c>
      <c r="M66" s="519">
        <f t="shared" si="15"/>
        <v>0</v>
      </c>
      <c r="N66" s="519">
        <f t="shared" si="15"/>
        <v>0</v>
      </c>
      <c r="O66" s="519">
        <f t="shared" si="15"/>
        <v>0</v>
      </c>
      <c r="P66" s="403"/>
      <c r="Q66" s="77"/>
      <c r="R66" s="109"/>
      <c r="S66" s="109"/>
    </row>
    <row r="67" spans="2:19" x14ac:dyDescent="0.2">
      <c r="B67" s="75"/>
      <c r="C67" s="187"/>
      <c r="D67" s="195"/>
      <c r="E67" s="187"/>
      <c r="F67" s="70"/>
      <c r="G67" s="187"/>
      <c r="H67" s="618"/>
      <c r="I67" s="618"/>
      <c r="J67" s="622"/>
      <c r="K67" s="70"/>
      <c r="L67" s="70"/>
      <c r="M67" s="70"/>
      <c r="N67" s="70"/>
      <c r="O67" s="70"/>
      <c r="P67" s="187"/>
      <c r="Q67" s="77"/>
      <c r="R67" s="109"/>
      <c r="S67" s="109"/>
    </row>
    <row r="68" spans="2:19" x14ac:dyDescent="0.2">
      <c r="B68" s="75"/>
      <c r="C68" s="76"/>
      <c r="D68" s="76"/>
      <c r="E68" s="76"/>
      <c r="F68" s="69"/>
      <c r="G68" s="76"/>
      <c r="H68" s="76"/>
      <c r="I68" s="76"/>
      <c r="J68" s="69"/>
      <c r="K68" s="69"/>
      <c r="L68" s="69"/>
      <c r="M68" s="69"/>
      <c r="N68" s="69"/>
      <c r="O68" s="69"/>
      <c r="P68" s="76"/>
      <c r="Q68" s="77"/>
      <c r="R68" s="109"/>
      <c r="S68" s="109"/>
    </row>
    <row r="69" spans="2:19" x14ac:dyDescent="0.2">
      <c r="B69" s="75"/>
      <c r="C69" s="187"/>
      <c r="D69" s="195"/>
      <c r="E69" s="187"/>
      <c r="F69" s="70"/>
      <c r="G69" s="187"/>
      <c r="H69" s="187"/>
      <c r="I69" s="187"/>
      <c r="J69" s="70"/>
      <c r="K69" s="70"/>
      <c r="L69" s="70"/>
      <c r="M69" s="70"/>
      <c r="N69" s="70"/>
      <c r="O69" s="70"/>
      <c r="P69" s="187"/>
      <c r="Q69" s="77"/>
      <c r="R69" s="109"/>
      <c r="S69" s="109"/>
    </row>
    <row r="70" spans="2:19" x14ac:dyDescent="0.2">
      <c r="B70" s="75"/>
      <c r="C70" s="187"/>
      <c r="D70" s="567" t="s">
        <v>169</v>
      </c>
      <c r="E70" s="187"/>
      <c r="F70" s="70"/>
      <c r="G70" s="187"/>
      <c r="H70" s="187"/>
      <c r="I70" s="187"/>
      <c r="J70" s="70"/>
      <c r="K70" s="70"/>
      <c r="L70" s="70"/>
      <c r="M70" s="70"/>
      <c r="N70" s="70"/>
      <c r="O70" s="70"/>
      <c r="P70" s="187"/>
      <c r="Q70" s="77"/>
      <c r="R70" s="109"/>
      <c r="S70" s="109"/>
    </row>
    <row r="71" spans="2:19" x14ac:dyDescent="0.2">
      <c r="B71" s="75"/>
      <c r="C71" s="187"/>
      <c r="D71" s="195"/>
      <c r="E71" s="187"/>
      <c r="F71" s="70"/>
      <c r="G71" s="187"/>
      <c r="H71" s="618"/>
      <c r="I71" s="618"/>
      <c r="J71" s="70"/>
      <c r="K71" s="70"/>
      <c r="L71" s="70"/>
      <c r="M71" s="70"/>
      <c r="N71" s="70"/>
      <c r="O71" s="70"/>
      <c r="P71" s="187"/>
      <c r="Q71" s="77"/>
      <c r="R71" s="109"/>
      <c r="S71" s="109"/>
    </row>
    <row r="72" spans="2:19" x14ac:dyDescent="0.2">
      <c r="B72" s="75"/>
      <c r="C72" s="187"/>
      <c r="D72" s="195" t="s">
        <v>41</v>
      </c>
      <c r="E72" s="187"/>
      <c r="F72" s="187"/>
      <c r="G72" s="187"/>
      <c r="H72" s="618"/>
      <c r="I72" s="618"/>
      <c r="J72" s="618"/>
      <c r="K72" s="187"/>
      <c r="L72" s="187"/>
      <c r="M72" s="187"/>
      <c r="N72" s="187"/>
      <c r="O72" s="187"/>
      <c r="P72" s="218"/>
      <c r="Q72" s="77"/>
      <c r="R72" s="109"/>
      <c r="S72" s="109"/>
    </row>
    <row r="73" spans="2:19" x14ac:dyDescent="0.2">
      <c r="B73" s="75"/>
      <c r="C73" s="187"/>
      <c r="D73" s="187" t="s">
        <v>170</v>
      </c>
      <c r="E73" s="187"/>
      <c r="F73" s="70"/>
      <c r="G73" s="187"/>
      <c r="H73" s="623"/>
      <c r="I73" s="623"/>
      <c r="J73" s="1569"/>
      <c r="K73" s="66">
        <f t="shared" ref="K73:K78" si="16">+J73</f>
        <v>0</v>
      </c>
      <c r="L73" s="66">
        <f t="shared" ref="L73:L78" si="17">+K73</f>
        <v>0</v>
      </c>
      <c r="M73" s="66">
        <f t="shared" ref="M73:M78" si="18">+L73</f>
        <v>0</v>
      </c>
      <c r="N73" s="66">
        <f t="shared" ref="N73:O78" si="19">+M73</f>
        <v>0</v>
      </c>
      <c r="O73" s="1444">
        <f t="shared" si="19"/>
        <v>0</v>
      </c>
      <c r="P73" s="218"/>
      <c r="Q73" s="77"/>
      <c r="R73" s="109"/>
      <c r="S73" s="109"/>
    </row>
    <row r="74" spans="2:19" x14ac:dyDescent="0.2">
      <c r="B74" s="75"/>
      <c r="C74" s="187"/>
      <c r="D74" s="49" t="s">
        <v>180</v>
      </c>
      <c r="E74" s="187"/>
      <c r="F74" s="70"/>
      <c r="G74" s="187"/>
      <c r="H74" s="623"/>
      <c r="I74" s="623"/>
      <c r="J74" s="1569"/>
      <c r="K74" s="66">
        <f t="shared" si="16"/>
        <v>0</v>
      </c>
      <c r="L74" s="66">
        <f t="shared" si="17"/>
        <v>0</v>
      </c>
      <c r="M74" s="66">
        <f t="shared" si="18"/>
        <v>0</v>
      </c>
      <c r="N74" s="66">
        <f t="shared" si="19"/>
        <v>0</v>
      </c>
      <c r="O74" s="1444">
        <f t="shared" si="19"/>
        <v>0</v>
      </c>
      <c r="P74" s="218"/>
      <c r="Q74" s="77"/>
      <c r="R74" s="109"/>
      <c r="S74" s="109"/>
    </row>
    <row r="75" spans="2:19" x14ac:dyDescent="0.2">
      <c r="B75" s="75"/>
      <c r="C75" s="187"/>
      <c r="D75" s="509"/>
      <c r="E75" s="187"/>
      <c r="F75" s="70"/>
      <c r="G75" s="187"/>
      <c r="H75" s="623"/>
      <c r="I75" s="623"/>
      <c r="J75" s="1569"/>
      <c r="K75" s="66">
        <f t="shared" si="16"/>
        <v>0</v>
      </c>
      <c r="L75" s="66">
        <f t="shared" si="17"/>
        <v>0</v>
      </c>
      <c r="M75" s="66">
        <f t="shared" si="18"/>
        <v>0</v>
      </c>
      <c r="N75" s="66">
        <f t="shared" si="19"/>
        <v>0</v>
      </c>
      <c r="O75" s="1444">
        <f t="shared" si="19"/>
        <v>0</v>
      </c>
      <c r="P75" s="218"/>
      <c r="Q75" s="77"/>
      <c r="R75" s="109"/>
      <c r="S75" s="109"/>
    </row>
    <row r="76" spans="2:19" x14ac:dyDescent="0.2">
      <c r="B76" s="75"/>
      <c r="C76" s="187"/>
      <c r="D76" s="509"/>
      <c r="E76" s="187"/>
      <c r="F76" s="70"/>
      <c r="G76" s="187"/>
      <c r="H76" s="623"/>
      <c r="I76" s="623"/>
      <c r="J76" s="1569"/>
      <c r="K76" s="66">
        <f t="shared" si="16"/>
        <v>0</v>
      </c>
      <c r="L76" s="66">
        <f t="shared" si="17"/>
        <v>0</v>
      </c>
      <c r="M76" s="66">
        <f t="shared" si="18"/>
        <v>0</v>
      </c>
      <c r="N76" s="66">
        <f t="shared" si="19"/>
        <v>0</v>
      </c>
      <c r="O76" s="1444">
        <f t="shared" si="19"/>
        <v>0</v>
      </c>
      <c r="P76" s="218"/>
      <c r="Q76" s="77"/>
      <c r="R76" s="109"/>
      <c r="S76" s="109"/>
    </row>
    <row r="77" spans="2:19" x14ac:dyDescent="0.2">
      <c r="B77" s="75"/>
      <c r="C77" s="187"/>
      <c r="D77" s="509"/>
      <c r="E77" s="187"/>
      <c r="F77" s="70"/>
      <c r="G77" s="187"/>
      <c r="H77" s="623"/>
      <c r="I77" s="623"/>
      <c r="J77" s="1569"/>
      <c r="K77" s="66">
        <f t="shared" si="16"/>
        <v>0</v>
      </c>
      <c r="L77" s="66">
        <f t="shared" si="17"/>
        <v>0</v>
      </c>
      <c r="M77" s="66">
        <f t="shared" si="18"/>
        <v>0</v>
      </c>
      <c r="N77" s="66">
        <f t="shared" si="19"/>
        <v>0</v>
      </c>
      <c r="O77" s="1444">
        <f t="shared" si="19"/>
        <v>0</v>
      </c>
      <c r="P77" s="218"/>
      <c r="Q77" s="77"/>
      <c r="R77" s="109"/>
      <c r="S77" s="109"/>
    </row>
    <row r="78" spans="2:19" x14ac:dyDescent="0.2">
      <c r="B78" s="75"/>
      <c r="C78" s="187"/>
      <c r="D78" s="509"/>
      <c r="E78" s="187"/>
      <c r="F78" s="70"/>
      <c r="G78" s="187"/>
      <c r="H78" s="623"/>
      <c r="I78" s="623"/>
      <c r="J78" s="1569"/>
      <c r="K78" s="66">
        <f t="shared" si="16"/>
        <v>0</v>
      </c>
      <c r="L78" s="66">
        <f t="shared" si="17"/>
        <v>0</v>
      </c>
      <c r="M78" s="66">
        <f t="shared" si="18"/>
        <v>0</v>
      </c>
      <c r="N78" s="66">
        <f t="shared" si="19"/>
        <v>0</v>
      </c>
      <c r="O78" s="1444">
        <f t="shared" si="19"/>
        <v>0</v>
      </c>
      <c r="P78" s="218"/>
      <c r="Q78" s="77"/>
      <c r="R78" s="109"/>
      <c r="S78" s="109"/>
    </row>
    <row r="79" spans="2:19" x14ac:dyDescent="0.2">
      <c r="B79" s="75"/>
      <c r="C79" s="187"/>
      <c r="D79" s="195"/>
      <c r="E79" s="187"/>
      <c r="F79" s="70"/>
      <c r="G79" s="187"/>
      <c r="H79" s="856"/>
      <c r="I79" s="856"/>
      <c r="J79" s="856"/>
      <c r="K79" s="519">
        <f t="shared" ref="K79:O79" si="20">SUM(K73:K78)</f>
        <v>0</v>
      </c>
      <c r="L79" s="519">
        <f t="shared" si="20"/>
        <v>0</v>
      </c>
      <c r="M79" s="519">
        <f t="shared" si="20"/>
        <v>0</v>
      </c>
      <c r="N79" s="519">
        <f t="shared" si="20"/>
        <v>0</v>
      </c>
      <c r="O79" s="519">
        <f t="shared" si="20"/>
        <v>0</v>
      </c>
      <c r="P79" s="187"/>
      <c r="Q79" s="77"/>
      <c r="R79" s="109"/>
      <c r="S79" s="109"/>
    </row>
    <row r="80" spans="2:19" x14ac:dyDescent="0.2">
      <c r="B80" s="75"/>
      <c r="C80" s="187"/>
      <c r="D80" s="513"/>
      <c r="E80" s="514"/>
      <c r="F80" s="515"/>
      <c r="G80" s="514"/>
      <c r="H80" s="515"/>
      <c r="I80" s="515"/>
      <c r="J80" s="1582"/>
      <c r="K80" s="515"/>
      <c r="L80" s="515"/>
      <c r="M80" s="515"/>
      <c r="N80" s="515"/>
      <c r="O80" s="515"/>
      <c r="P80" s="187"/>
      <c r="Q80" s="77"/>
      <c r="R80" s="109"/>
      <c r="S80" s="109"/>
    </row>
    <row r="81" spans="2:19" x14ac:dyDescent="0.2">
      <c r="B81" s="75"/>
      <c r="C81" s="187"/>
      <c r="D81" s="512"/>
      <c r="E81" s="485"/>
      <c r="F81" s="78"/>
      <c r="G81" s="485"/>
      <c r="H81" s="78"/>
      <c r="I81" s="78"/>
      <c r="J81" s="857"/>
      <c r="K81" s="78"/>
      <c r="L81" s="78"/>
      <c r="M81" s="78"/>
      <c r="N81" s="78"/>
      <c r="O81" s="78"/>
      <c r="P81" s="187"/>
      <c r="Q81" s="77"/>
      <c r="R81" s="109"/>
      <c r="S81" s="109"/>
    </row>
    <row r="82" spans="2:19" x14ac:dyDescent="0.2">
      <c r="B82" s="75"/>
      <c r="C82" s="187"/>
      <c r="D82" s="195" t="s">
        <v>42</v>
      </c>
      <c r="E82" s="187"/>
      <c r="F82" s="70"/>
      <c r="G82" s="187"/>
      <c r="H82" s="1068"/>
      <c r="I82" s="1068"/>
      <c r="J82" s="1068"/>
      <c r="K82" s="553"/>
      <c r="L82" s="553"/>
      <c r="M82" s="553"/>
      <c r="N82" s="553"/>
      <c r="O82" s="553"/>
      <c r="P82" s="187"/>
      <c r="Q82" s="77"/>
      <c r="R82" s="109"/>
      <c r="S82" s="109"/>
    </row>
    <row r="83" spans="2:19" x14ac:dyDescent="0.2">
      <c r="B83" s="75"/>
      <c r="C83" s="187"/>
      <c r="D83" s="34" t="s">
        <v>170</v>
      </c>
      <c r="E83" s="187"/>
      <c r="F83" s="70"/>
      <c r="G83" s="187"/>
      <c r="H83" s="623"/>
      <c r="I83" s="623"/>
      <c r="J83" s="1569"/>
      <c r="K83" s="66">
        <f t="shared" ref="K83:O88" si="21">+J83</f>
        <v>0</v>
      </c>
      <c r="L83" s="66">
        <f t="shared" si="21"/>
        <v>0</v>
      </c>
      <c r="M83" s="66">
        <f t="shared" si="21"/>
        <v>0</v>
      </c>
      <c r="N83" s="66">
        <f t="shared" si="21"/>
        <v>0</v>
      </c>
      <c r="O83" s="1444">
        <f t="shared" si="21"/>
        <v>0</v>
      </c>
      <c r="P83" s="187"/>
      <c r="Q83" s="77"/>
      <c r="R83" s="109"/>
      <c r="S83" s="109"/>
    </row>
    <row r="84" spans="2:19" x14ac:dyDescent="0.2">
      <c r="B84" s="75"/>
      <c r="C84" s="187"/>
      <c r="D84" s="49" t="s">
        <v>180</v>
      </c>
      <c r="E84" s="187"/>
      <c r="F84" s="70"/>
      <c r="G84" s="187"/>
      <c r="H84" s="623"/>
      <c r="I84" s="623"/>
      <c r="J84" s="1569"/>
      <c r="K84" s="66">
        <f t="shared" si="21"/>
        <v>0</v>
      </c>
      <c r="L84" s="66">
        <f t="shared" si="21"/>
        <v>0</v>
      </c>
      <c r="M84" s="66">
        <f t="shared" si="21"/>
        <v>0</v>
      </c>
      <c r="N84" s="66">
        <f t="shared" si="21"/>
        <v>0</v>
      </c>
      <c r="O84" s="1444">
        <f t="shared" si="21"/>
        <v>0</v>
      </c>
      <c r="P84" s="187"/>
      <c r="Q84" s="77"/>
      <c r="R84" s="109"/>
      <c r="S84" s="109"/>
    </row>
    <row r="85" spans="2:19" x14ac:dyDescent="0.2">
      <c r="B85" s="75"/>
      <c r="C85" s="187"/>
      <c r="D85" s="509"/>
      <c r="E85" s="187"/>
      <c r="F85" s="70"/>
      <c r="G85" s="187"/>
      <c r="H85" s="623"/>
      <c r="I85" s="623"/>
      <c r="J85" s="1569"/>
      <c r="K85" s="66">
        <f t="shared" si="21"/>
        <v>0</v>
      </c>
      <c r="L85" s="66">
        <f t="shared" si="21"/>
        <v>0</v>
      </c>
      <c r="M85" s="66">
        <f t="shared" si="21"/>
        <v>0</v>
      </c>
      <c r="N85" s="66">
        <f t="shared" si="21"/>
        <v>0</v>
      </c>
      <c r="O85" s="1444">
        <f t="shared" si="21"/>
        <v>0</v>
      </c>
      <c r="P85" s="187"/>
      <c r="Q85" s="77"/>
      <c r="R85" s="109"/>
      <c r="S85" s="109"/>
    </row>
    <row r="86" spans="2:19" x14ac:dyDescent="0.2">
      <c r="B86" s="75"/>
      <c r="C86" s="187"/>
      <c r="D86" s="509"/>
      <c r="E86" s="187"/>
      <c r="F86" s="70"/>
      <c r="G86" s="187"/>
      <c r="H86" s="623"/>
      <c r="I86" s="623"/>
      <c r="J86" s="1569"/>
      <c r="K86" s="66">
        <f t="shared" si="21"/>
        <v>0</v>
      </c>
      <c r="L86" s="66">
        <f t="shared" si="21"/>
        <v>0</v>
      </c>
      <c r="M86" s="66">
        <f t="shared" si="21"/>
        <v>0</v>
      </c>
      <c r="N86" s="66">
        <f t="shared" si="21"/>
        <v>0</v>
      </c>
      <c r="O86" s="1444">
        <f t="shared" si="21"/>
        <v>0</v>
      </c>
      <c r="P86" s="187"/>
      <c r="Q86" s="77"/>
      <c r="R86" s="109"/>
      <c r="S86" s="109"/>
    </row>
    <row r="87" spans="2:19" x14ac:dyDescent="0.2">
      <c r="B87" s="75"/>
      <c r="C87" s="187"/>
      <c r="D87" s="509"/>
      <c r="E87" s="187"/>
      <c r="F87" s="70"/>
      <c r="G87" s="187"/>
      <c r="H87" s="623"/>
      <c r="I87" s="623"/>
      <c r="J87" s="1569"/>
      <c r="K87" s="66">
        <f t="shared" si="21"/>
        <v>0</v>
      </c>
      <c r="L87" s="66">
        <f t="shared" si="21"/>
        <v>0</v>
      </c>
      <c r="M87" s="66">
        <f t="shared" si="21"/>
        <v>0</v>
      </c>
      <c r="N87" s="66">
        <f t="shared" si="21"/>
        <v>0</v>
      </c>
      <c r="O87" s="1444">
        <f t="shared" si="21"/>
        <v>0</v>
      </c>
      <c r="P87" s="187"/>
      <c r="Q87" s="77"/>
      <c r="R87" s="109"/>
      <c r="S87" s="109"/>
    </row>
    <row r="88" spans="2:19" x14ac:dyDescent="0.2">
      <c r="B88" s="75"/>
      <c r="C88" s="187"/>
      <c r="D88" s="509"/>
      <c r="E88" s="187"/>
      <c r="F88" s="70"/>
      <c r="G88" s="187"/>
      <c r="H88" s="623"/>
      <c r="I88" s="623"/>
      <c r="J88" s="1569"/>
      <c r="K88" s="66">
        <f t="shared" si="21"/>
        <v>0</v>
      </c>
      <c r="L88" s="66">
        <f t="shared" si="21"/>
        <v>0</v>
      </c>
      <c r="M88" s="66">
        <f t="shared" si="21"/>
        <v>0</v>
      </c>
      <c r="N88" s="66">
        <f t="shared" si="21"/>
        <v>0</v>
      </c>
      <c r="O88" s="1444">
        <f t="shared" si="21"/>
        <v>0</v>
      </c>
      <c r="P88" s="187"/>
      <c r="Q88" s="77"/>
      <c r="R88" s="109"/>
      <c r="S88" s="109"/>
    </row>
    <row r="89" spans="2:19" x14ac:dyDescent="0.2">
      <c r="B89" s="75"/>
      <c r="C89" s="187"/>
      <c r="D89" s="195" t="s">
        <v>132</v>
      </c>
      <c r="E89" s="187"/>
      <c r="F89" s="70"/>
      <c r="G89" s="187"/>
      <c r="H89" s="856"/>
      <c r="I89" s="856"/>
      <c r="J89" s="856"/>
      <c r="K89" s="519">
        <f t="shared" ref="K89:O89" si="22">SUM(K83:K88)</f>
        <v>0</v>
      </c>
      <c r="L89" s="519">
        <f t="shared" si="22"/>
        <v>0</v>
      </c>
      <c r="M89" s="519">
        <f t="shared" si="22"/>
        <v>0</v>
      </c>
      <c r="N89" s="519">
        <f t="shared" si="22"/>
        <v>0</v>
      </c>
      <c r="O89" s="519">
        <f t="shared" si="22"/>
        <v>0</v>
      </c>
      <c r="P89" s="187"/>
      <c r="Q89" s="77"/>
      <c r="R89" s="109"/>
      <c r="S89" s="109"/>
    </row>
    <row r="90" spans="2:19" x14ac:dyDescent="0.2">
      <c r="B90" s="75"/>
      <c r="C90" s="187"/>
      <c r="D90" s="513"/>
      <c r="E90" s="514"/>
      <c r="F90" s="515"/>
      <c r="G90" s="514"/>
      <c r="H90" s="515"/>
      <c r="I90" s="515"/>
      <c r="J90" s="1582"/>
      <c r="K90" s="515"/>
      <c r="L90" s="515"/>
      <c r="M90" s="515"/>
      <c r="N90" s="515"/>
      <c r="O90" s="515"/>
      <c r="P90" s="187"/>
      <c r="Q90" s="77"/>
      <c r="R90" s="109"/>
      <c r="S90" s="109"/>
    </row>
    <row r="91" spans="2:19" x14ac:dyDescent="0.2">
      <c r="B91" s="75"/>
      <c r="C91" s="187"/>
      <c r="D91" s="512"/>
      <c r="E91" s="485"/>
      <c r="F91" s="78"/>
      <c r="G91" s="485"/>
      <c r="H91" s="78"/>
      <c r="I91" s="78"/>
      <c r="J91" s="857"/>
      <c r="K91" s="78"/>
      <c r="L91" s="78"/>
      <c r="M91" s="78"/>
      <c r="N91" s="78"/>
      <c r="O91" s="78"/>
      <c r="P91" s="187"/>
      <c r="Q91" s="77"/>
      <c r="R91" s="109"/>
      <c r="S91" s="109"/>
    </row>
    <row r="92" spans="2:19" x14ac:dyDescent="0.2">
      <c r="B92" s="75"/>
      <c r="C92" s="187"/>
      <c r="D92" s="195" t="s">
        <v>132</v>
      </c>
      <c r="E92" s="187"/>
      <c r="F92" s="70"/>
      <c r="G92" s="187"/>
      <c r="H92" s="856"/>
      <c r="I92" s="856"/>
      <c r="J92" s="856"/>
      <c r="K92" s="519">
        <f t="shared" ref="K92:O92" si="23">K79+K89</f>
        <v>0</v>
      </c>
      <c r="L92" s="519">
        <f t="shared" si="23"/>
        <v>0</v>
      </c>
      <c r="M92" s="519">
        <f t="shared" si="23"/>
        <v>0</v>
      </c>
      <c r="N92" s="519">
        <f t="shared" si="23"/>
        <v>0</v>
      </c>
      <c r="O92" s="519">
        <f t="shared" si="23"/>
        <v>0</v>
      </c>
      <c r="P92" s="187"/>
      <c r="Q92" s="77"/>
      <c r="R92" s="109"/>
      <c r="S92" s="109"/>
    </row>
    <row r="93" spans="2:19" x14ac:dyDescent="0.2">
      <c r="B93" s="75"/>
      <c r="C93" s="187"/>
      <c r="D93" s="195"/>
      <c r="E93" s="187"/>
      <c r="F93" s="70"/>
      <c r="G93" s="187"/>
      <c r="H93" s="187"/>
      <c r="I93" s="187"/>
      <c r="J93" s="622"/>
      <c r="K93" s="70"/>
      <c r="L93" s="70"/>
      <c r="M93" s="70"/>
      <c r="N93" s="70"/>
      <c r="O93" s="70"/>
      <c r="P93" s="187"/>
      <c r="Q93" s="77"/>
      <c r="R93" s="109"/>
      <c r="S93" s="109"/>
    </row>
    <row r="94" spans="2:19" x14ac:dyDescent="0.2">
      <c r="B94" s="75"/>
      <c r="C94" s="76"/>
      <c r="D94" s="76"/>
      <c r="E94" s="76"/>
      <c r="F94" s="69"/>
      <c r="G94" s="76"/>
      <c r="H94" s="76"/>
      <c r="I94" s="76"/>
      <c r="J94" s="69"/>
      <c r="K94" s="69"/>
      <c r="L94" s="69"/>
      <c r="M94" s="69"/>
      <c r="N94" s="69"/>
      <c r="O94" s="69"/>
      <c r="P94" s="76"/>
      <c r="Q94" s="77"/>
      <c r="R94" s="109"/>
      <c r="S94" s="109"/>
    </row>
    <row r="95" spans="2:19" x14ac:dyDescent="0.2">
      <c r="B95" s="75"/>
      <c r="C95" s="187"/>
      <c r="D95" s="195"/>
      <c r="E95" s="187"/>
      <c r="F95" s="70"/>
      <c r="G95" s="187"/>
      <c r="H95" s="187"/>
      <c r="I95" s="187"/>
      <c r="J95" s="70"/>
      <c r="K95" s="70"/>
      <c r="L95" s="70"/>
      <c r="M95" s="70"/>
      <c r="N95" s="70"/>
      <c r="O95" s="70"/>
      <c r="P95" s="187"/>
      <c r="Q95" s="77"/>
      <c r="R95" s="109"/>
      <c r="S95" s="109"/>
    </row>
    <row r="96" spans="2:19" x14ac:dyDescent="0.2">
      <c r="B96" s="75"/>
      <c r="C96" s="187"/>
      <c r="D96" s="195" t="s">
        <v>179</v>
      </c>
      <c r="E96" s="187"/>
      <c r="F96" s="70"/>
      <c r="G96" s="187"/>
      <c r="H96" s="856"/>
      <c r="I96" s="856"/>
      <c r="J96" s="856"/>
      <c r="K96" s="519">
        <f t="shared" ref="K96:O96" si="24">K46+K66+K92</f>
        <v>1002131.9209303092</v>
      </c>
      <c r="L96" s="519">
        <f t="shared" si="24"/>
        <v>985854.17839813011</v>
      </c>
      <c r="M96" s="519">
        <f t="shared" si="24"/>
        <v>985854.17839813011</v>
      </c>
      <c r="N96" s="519">
        <f t="shared" si="24"/>
        <v>985854.17839813011</v>
      </c>
      <c r="O96" s="519">
        <f t="shared" si="24"/>
        <v>985854.17839813011</v>
      </c>
      <c r="P96" s="187"/>
      <c r="Q96" s="77"/>
      <c r="R96" s="109"/>
      <c r="S96" s="109"/>
    </row>
    <row r="97" spans="2:19" x14ac:dyDescent="0.2">
      <c r="B97" s="75"/>
      <c r="C97" s="187"/>
      <c r="D97" s="195"/>
      <c r="E97" s="187"/>
      <c r="F97" s="70"/>
      <c r="G97" s="187"/>
      <c r="H97" s="187"/>
      <c r="I97" s="187"/>
      <c r="J97" s="70"/>
      <c r="K97" s="70"/>
      <c r="L97" s="70"/>
      <c r="M97" s="70"/>
      <c r="N97" s="70"/>
      <c r="O97" s="70"/>
      <c r="P97" s="187"/>
      <c r="Q97" s="77"/>
      <c r="R97" s="109"/>
      <c r="S97" s="109"/>
    </row>
    <row r="98" spans="2:19" x14ac:dyDescent="0.2">
      <c r="B98" s="75"/>
      <c r="C98" s="76"/>
      <c r="D98" s="76"/>
      <c r="E98" s="76"/>
      <c r="F98" s="69"/>
      <c r="G98" s="76"/>
      <c r="H98" s="76"/>
      <c r="I98" s="76"/>
      <c r="J98" s="69"/>
      <c r="K98" s="69"/>
      <c r="L98" s="69"/>
      <c r="M98" s="69"/>
      <c r="N98" s="69"/>
      <c r="O98" s="69"/>
      <c r="P98" s="76"/>
      <c r="Q98" s="77"/>
      <c r="R98" s="109"/>
      <c r="S98" s="109"/>
    </row>
    <row r="99" spans="2:19" x14ac:dyDescent="0.2">
      <c r="B99" s="85"/>
      <c r="C99" s="82"/>
      <c r="D99" s="82"/>
      <c r="E99" s="82"/>
      <c r="F99" s="83"/>
      <c r="G99" s="82"/>
      <c r="H99" s="82"/>
      <c r="I99" s="82"/>
      <c r="J99" s="83"/>
      <c r="K99" s="83"/>
      <c r="L99" s="83"/>
      <c r="M99" s="83"/>
      <c r="N99" s="83"/>
      <c r="O99" s="83"/>
      <c r="P99" s="82"/>
      <c r="Q99" s="84"/>
      <c r="R99" s="109"/>
      <c r="S99" s="109"/>
    </row>
    <row r="100" spans="2:19" x14ac:dyDescent="0.2">
      <c r="B100" s="71"/>
      <c r="C100" s="72"/>
      <c r="D100" s="72"/>
      <c r="E100" s="72"/>
      <c r="F100" s="73"/>
      <c r="G100" s="72"/>
      <c r="H100" s="72"/>
      <c r="I100" s="72"/>
      <c r="J100" s="73"/>
      <c r="K100" s="73"/>
      <c r="L100" s="73"/>
      <c r="M100" s="73"/>
      <c r="N100" s="73"/>
      <c r="O100" s="73"/>
      <c r="P100" s="72"/>
      <c r="Q100" s="74"/>
      <c r="R100" s="109"/>
      <c r="S100" s="109"/>
    </row>
    <row r="101" spans="2:19" x14ac:dyDescent="0.2">
      <c r="B101" s="75"/>
      <c r="C101" s="76"/>
      <c r="D101" s="76"/>
      <c r="E101" s="76"/>
      <c r="F101" s="69"/>
      <c r="G101" s="76"/>
      <c r="H101" s="76"/>
      <c r="I101" s="76"/>
      <c r="J101" s="69"/>
      <c r="K101" s="69"/>
      <c r="L101" s="69"/>
      <c r="M101" s="69"/>
      <c r="N101" s="69"/>
      <c r="O101" s="69"/>
      <c r="P101" s="76"/>
      <c r="Q101" s="77"/>
      <c r="R101" s="109"/>
      <c r="S101" s="109"/>
    </row>
    <row r="102" spans="2:19" x14ac:dyDescent="0.2">
      <c r="B102" s="75"/>
      <c r="C102" s="76"/>
      <c r="D102" s="76"/>
      <c r="E102" s="76"/>
      <c r="F102" s="69"/>
      <c r="G102" s="76"/>
      <c r="H102" s="576"/>
      <c r="I102" s="576"/>
      <c r="J102" s="576"/>
      <c r="K102" s="576">
        <f t="shared" ref="K102:O102" si="25">K8</f>
        <v>2020</v>
      </c>
      <c r="L102" s="576">
        <f t="shared" si="25"/>
        <v>2021</v>
      </c>
      <c r="M102" s="576">
        <f t="shared" si="25"/>
        <v>2022</v>
      </c>
      <c r="N102" s="576">
        <f t="shared" si="25"/>
        <v>2023</v>
      </c>
      <c r="O102" s="576">
        <f t="shared" si="25"/>
        <v>2024</v>
      </c>
      <c r="P102" s="76"/>
      <c r="Q102" s="77"/>
      <c r="R102" s="109"/>
      <c r="S102" s="109"/>
    </row>
    <row r="103" spans="2:19" x14ac:dyDescent="0.2">
      <c r="B103" s="75"/>
      <c r="C103" s="76"/>
      <c r="D103" s="76"/>
      <c r="E103" s="76"/>
      <c r="F103" s="69"/>
      <c r="G103" s="76"/>
      <c r="H103" s="76"/>
      <c r="I103" s="76"/>
      <c r="J103" s="69"/>
      <c r="K103" s="69"/>
      <c r="L103" s="69"/>
      <c r="M103" s="69"/>
      <c r="N103" s="69"/>
      <c r="O103" s="69"/>
      <c r="P103" s="76"/>
      <c r="Q103" s="77"/>
      <c r="R103" s="109"/>
      <c r="S103" s="109"/>
    </row>
    <row r="104" spans="2:19" x14ac:dyDescent="0.2">
      <c r="B104" s="75"/>
      <c r="C104" s="187"/>
      <c r="D104" s="187"/>
      <c r="E104" s="187"/>
      <c r="F104" s="70"/>
      <c r="G104" s="187"/>
      <c r="H104" s="187"/>
      <c r="I104" s="187"/>
      <c r="J104" s="70"/>
      <c r="K104" s="70"/>
      <c r="L104" s="70"/>
      <c r="M104" s="70"/>
      <c r="N104" s="70"/>
      <c r="O104" s="70"/>
      <c r="P104" s="187"/>
      <c r="Q104" s="77"/>
      <c r="R104" s="109"/>
      <c r="S104" s="109"/>
    </row>
    <row r="105" spans="2:19" x14ac:dyDescent="0.2">
      <c r="B105" s="75"/>
      <c r="C105" s="187"/>
      <c r="D105" s="567" t="s">
        <v>95</v>
      </c>
      <c r="E105" s="187"/>
      <c r="F105" s="207" t="s">
        <v>212</v>
      </c>
      <c r="G105" s="187"/>
      <c r="H105" s="187"/>
      <c r="I105" s="187"/>
      <c r="J105" s="70"/>
      <c r="K105" s="70"/>
      <c r="L105" s="70"/>
      <c r="M105" s="70"/>
      <c r="N105" s="70"/>
      <c r="O105" s="70"/>
      <c r="P105" s="187"/>
      <c r="Q105" s="77"/>
      <c r="R105" s="109"/>
      <c r="S105" s="109"/>
    </row>
    <row r="106" spans="2:19" x14ac:dyDescent="0.2">
      <c r="B106" s="75"/>
      <c r="C106" s="187"/>
      <c r="D106" s="187"/>
      <c r="E106" s="187"/>
      <c r="F106" s="70"/>
      <c r="G106" s="187"/>
      <c r="H106" s="618"/>
      <c r="I106" s="618"/>
      <c r="J106" s="622"/>
      <c r="K106" s="70"/>
      <c r="L106" s="70"/>
      <c r="M106" s="70"/>
      <c r="N106" s="70"/>
      <c r="O106" s="70"/>
      <c r="P106" s="187"/>
      <c r="Q106" s="77"/>
      <c r="R106" s="109"/>
      <c r="S106" s="109"/>
    </row>
    <row r="107" spans="2:19" x14ac:dyDescent="0.2">
      <c r="B107" s="75"/>
      <c r="C107" s="187"/>
      <c r="D107" s="49" t="s">
        <v>101</v>
      </c>
      <c r="E107" s="187"/>
      <c r="F107" s="531"/>
      <c r="G107" s="187"/>
      <c r="H107" s="623"/>
      <c r="I107" s="623"/>
      <c r="J107" s="623"/>
      <c r="K107" s="67">
        <f>act!G30</f>
        <v>0</v>
      </c>
      <c r="L107" s="67">
        <f>act!H30</f>
        <v>0</v>
      </c>
      <c r="M107" s="67">
        <f>act!I30</f>
        <v>0</v>
      </c>
      <c r="N107" s="67">
        <f>act!J30</f>
        <v>0</v>
      </c>
      <c r="O107" s="67">
        <f>act!K30</f>
        <v>0</v>
      </c>
      <c r="P107" s="187"/>
      <c r="Q107" s="77"/>
      <c r="R107" s="109"/>
      <c r="S107" s="109"/>
    </row>
    <row r="108" spans="2:19" x14ac:dyDescent="0.2">
      <c r="B108" s="75"/>
      <c r="C108" s="187"/>
      <c r="D108" s="49" t="s">
        <v>103</v>
      </c>
      <c r="E108" s="187"/>
      <c r="F108" s="531"/>
      <c r="G108" s="187"/>
      <c r="H108" s="623"/>
      <c r="I108" s="623"/>
      <c r="J108" s="623"/>
      <c r="K108" s="67">
        <f>act!G31</f>
        <v>13875</v>
      </c>
      <c r="L108" s="67">
        <f>act!H31</f>
        <v>13875</v>
      </c>
      <c r="M108" s="67">
        <f>act!I31</f>
        <v>13875</v>
      </c>
      <c r="N108" s="67">
        <f>act!J31</f>
        <v>13875</v>
      </c>
      <c r="O108" s="67">
        <f>act!K31</f>
        <v>13875</v>
      </c>
      <c r="P108" s="187"/>
      <c r="Q108" s="77"/>
      <c r="R108" s="109"/>
      <c r="S108" s="109"/>
    </row>
    <row r="109" spans="2:19" x14ac:dyDescent="0.2">
      <c r="B109" s="75"/>
      <c r="C109" s="187"/>
      <c r="D109" s="49" t="s">
        <v>97</v>
      </c>
      <c r="E109" s="187"/>
      <c r="F109" s="531"/>
      <c r="G109" s="187"/>
      <c r="H109" s="623"/>
      <c r="I109" s="623"/>
      <c r="J109" s="623"/>
      <c r="K109" s="67">
        <f>act!G32</f>
        <v>0</v>
      </c>
      <c r="L109" s="67">
        <f>act!H32</f>
        <v>0</v>
      </c>
      <c r="M109" s="67">
        <f>act!I32</f>
        <v>0</v>
      </c>
      <c r="N109" s="67">
        <f>act!J32</f>
        <v>0</v>
      </c>
      <c r="O109" s="67">
        <f>act!K32</f>
        <v>0</v>
      </c>
      <c r="P109" s="187"/>
      <c r="Q109" s="77"/>
      <c r="R109" s="109"/>
      <c r="S109" s="109"/>
    </row>
    <row r="110" spans="2:19" x14ac:dyDescent="0.2">
      <c r="B110" s="75"/>
      <c r="C110" s="187"/>
      <c r="D110" s="49" t="s">
        <v>104</v>
      </c>
      <c r="E110" s="187"/>
      <c r="F110" s="531"/>
      <c r="G110" s="187"/>
      <c r="H110" s="623"/>
      <c r="I110" s="623"/>
      <c r="J110" s="623"/>
      <c r="K110" s="67">
        <f>act!G33</f>
        <v>0</v>
      </c>
      <c r="L110" s="67">
        <f>act!H33</f>
        <v>0</v>
      </c>
      <c r="M110" s="67">
        <f>act!I33</f>
        <v>0</v>
      </c>
      <c r="N110" s="67">
        <f>act!J33</f>
        <v>0</v>
      </c>
      <c r="O110" s="67">
        <f>act!K33</f>
        <v>0</v>
      </c>
      <c r="P110" s="187"/>
      <c r="Q110" s="77"/>
      <c r="R110" s="109"/>
      <c r="S110" s="109"/>
    </row>
    <row r="111" spans="2:19" x14ac:dyDescent="0.2">
      <c r="B111" s="75"/>
      <c r="C111" s="187"/>
      <c r="D111" s="187"/>
      <c r="E111" s="187"/>
      <c r="F111" s="70"/>
      <c r="G111" s="187"/>
      <c r="H111" s="622"/>
      <c r="I111" s="622"/>
      <c r="J111" s="622"/>
      <c r="K111" s="70"/>
      <c r="L111" s="70"/>
      <c r="M111" s="70"/>
      <c r="N111" s="70"/>
      <c r="O111" s="70"/>
      <c r="P111" s="187"/>
      <c r="Q111" s="77"/>
      <c r="R111" s="109"/>
      <c r="S111" s="109"/>
    </row>
    <row r="112" spans="2:19" x14ac:dyDescent="0.2">
      <c r="B112" s="75"/>
      <c r="C112" s="187"/>
      <c r="D112" s="195" t="s">
        <v>132</v>
      </c>
      <c r="E112" s="187"/>
      <c r="F112" s="70"/>
      <c r="G112" s="187"/>
      <c r="H112" s="856"/>
      <c r="I112" s="856"/>
      <c r="J112" s="856"/>
      <c r="K112" s="519">
        <f t="shared" ref="K112:O112" si="26">SUM(K107:K110)</f>
        <v>13875</v>
      </c>
      <c r="L112" s="519">
        <f t="shared" si="26"/>
        <v>13875</v>
      </c>
      <c r="M112" s="519">
        <f t="shared" si="26"/>
        <v>13875</v>
      </c>
      <c r="N112" s="519">
        <f t="shared" si="26"/>
        <v>13875</v>
      </c>
      <c r="O112" s="519">
        <f t="shared" si="26"/>
        <v>13875</v>
      </c>
      <c r="P112" s="187"/>
      <c r="Q112" s="77"/>
      <c r="R112" s="109"/>
      <c r="S112" s="109"/>
    </row>
    <row r="113" spans="2:19" x14ac:dyDescent="0.2">
      <c r="B113" s="75"/>
      <c r="C113" s="187"/>
      <c r="D113" s="187"/>
      <c r="E113" s="187"/>
      <c r="F113" s="70"/>
      <c r="G113" s="187"/>
      <c r="H113" s="618"/>
      <c r="I113" s="618"/>
      <c r="J113" s="622"/>
      <c r="K113" s="70"/>
      <c r="L113" s="70"/>
      <c r="M113" s="70"/>
      <c r="N113" s="70"/>
      <c r="O113" s="70"/>
      <c r="P113" s="187"/>
      <c r="Q113" s="77"/>
      <c r="R113" s="109"/>
      <c r="S113" s="109"/>
    </row>
    <row r="114" spans="2:19" x14ac:dyDescent="0.2">
      <c r="B114" s="75"/>
      <c r="C114" s="76"/>
      <c r="D114" s="76"/>
      <c r="E114" s="76"/>
      <c r="F114" s="69"/>
      <c r="G114" s="76"/>
      <c r="H114" s="76"/>
      <c r="I114" s="76"/>
      <c r="J114" s="69"/>
      <c r="K114" s="69"/>
      <c r="L114" s="69"/>
      <c r="M114" s="69"/>
      <c r="N114" s="69"/>
      <c r="O114" s="69"/>
      <c r="P114" s="76"/>
      <c r="Q114" s="77"/>
      <c r="R114" s="109"/>
      <c r="S114" s="109"/>
    </row>
    <row r="115" spans="2:19" x14ac:dyDescent="0.2">
      <c r="B115" s="75"/>
      <c r="C115" s="187"/>
      <c r="D115" s="187"/>
      <c r="E115" s="187"/>
      <c r="F115" s="70"/>
      <c r="G115" s="187"/>
      <c r="H115" s="187"/>
      <c r="I115" s="187"/>
      <c r="J115" s="70"/>
      <c r="K115" s="70"/>
      <c r="L115" s="70"/>
      <c r="M115" s="70"/>
      <c r="N115" s="70"/>
      <c r="O115" s="70"/>
      <c r="P115" s="187"/>
      <c r="Q115" s="77"/>
      <c r="R115" s="109"/>
      <c r="S115" s="109"/>
    </row>
    <row r="116" spans="2:19" x14ac:dyDescent="0.2">
      <c r="B116" s="75"/>
      <c r="C116" s="187"/>
      <c r="D116" s="567" t="s">
        <v>96</v>
      </c>
      <c r="E116" s="187"/>
      <c r="F116" s="70"/>
      <c r="G116" s="187"/>
      <c r="H116" s="187"/>
      <c r="I116" s="187"/>
      <c r="J116" s="70"/>
      <c r="K116" s="70"/>
      <c r="L116" s="70"/>
      <c r="M116" s="70"/>
      <c r="N116" s="70"/>
      <c r="O116" s="70"/>
      <c r="P116" s="187"/>
      <c r="Q116" s="77"/>
      <c r="R116" s="109"/>
      <c r="S116" s="109"/>
    </row>
    <row r="117" spans="2:19" x14ac:dyDescent="0.2">
      <c r="B117" s="75"/>
      <c r="C117" s="187"/>
      <c r="D117" s="187"/>
      <c r="E117" s="187"/>
      <c r="F117" s="70"/>
      <c r="G117" s="187"/>
      <c r="H117" s="187"/>
      <c r="I117" s="187"/>
      <c r="J117" s="70"/>
      <c r="K117" s="70"/>
      <c r="L117" s="70"/>
      <c r="M117" s="70"/>
      <c r="N117" s="70"/>
      <c r="O117" s="70"/>
      <c r="P117" s="187"/>
      <c r="Q117" s="77"/>
      <c r="R117" s="109"/>
      <c r="S117" s="109"/>
    </row>
    <row r="118" spans="2:19" x14ac:dyDescent="0.2">
      <c r="B118" s="75"/>
      <c r="C118" s="187"/>
      <c r="D118" s="195" t="s">
        <v>41</v>
      </c>
      <c r="E118" s="187"/>
      <c r="F118" s="70"/>
      <c r="G118" s="187"/>
      <c r="H118" s="618"/>
      <c r="I118" s="618"/>
      <c r="J118" s="622"/>
      <c r="K118" s="70"/>
      <c r="L118" s="70"/>
      <c r="M118" s="70"/>
      <c r="N118" s="70"/>
      <c r="O118" s="70"/>
      <c r="P118" s="187"/>
      <c r="Q118" s="77"/>
      <c r="R118" s="109"/>
      <c r="S118" s="109"/>
    </row>
    <row r="119" spans="2:19" x14ac:dyDescent="0.2">
      <c r="B119" s="75"/>
      <c r="C119" s="187"/>
      <c r="D119" s="509"/>
      <c r="E119" s="187"/>
      <c r="F119" s="531"/>
      <c r="G119" s="187"/>
      <c r="H119" s="623"/>
      <c r="I119" s="623"/>
      <c r="J119" s="1569"/>
      <c r="K119" s="66">
        <f t="shared" ref="K119:O119" si="27">J119</f>
        <v>0</v>
      </c>
      <c r="L119" s="66">
        <f t="shared" si="27"/>
        <v>0</v>
      </c>
      <c r="M119" s="66">
        <f t="shared" si="27"/>
        <v>0</v>
      </c>
      <c r="N119" s="66">
        <f t="shared" si="27"/>
        <v>0</v>
      </c>
      <c r="O119" s="1444">
        <f t="shared" si="27"/>
        <v>0</v>
      </c>
      <c r="P119" s="187"/>
      <c r="Q119" s="77"/>
      <c r="R119" s="109"/>
      <c r="S119" s="109"/>
    </row>
    <row r="120" spans="2:19" x14ac:dyDescent="0.2">
      <c r="B120" s="75"/>
      <c r="C120" s="187"/>
      <c r="D120" s="1323"/>
      <c r="E120" s="187"/>
      <c r="F120" s="531"/>
      <c r="G120" s="187"/>
      <c r="H120" s="623"/>
      <c r="I120" s="881"/>
      <c r="J120" s="1569"/>
      <c r="K120" s="66">
        <f t="shared" ref="K120:O121" si="28">J120</f>
        <v>0</v>
      </c>
      <c r="L120" s="66">
        <f t="shared" si="28"/>
        <v>0</v>
      </c>
      <c r="M120" s="66">
        <f t="shared" si="28"/>
        <v>0</v>
      </c>
      <c r="N120" s="66">
        <f t="shared" si="28"/>
        <v>0</v>
      </c>
      <c r="O120" s="1444">
        <f t="shared" si="28"/>
        <v>0</v>
      </c>
      <c r="P120" s="187"/>
      <c r="Q120" s="77"/>
      <c r="R120" s="109"/>
      <c r="S120" s="109"/>
    </row>
    <row r="121" spans="2:19" x14ac:dyDescent="0.2">
      <c r="B121" s="75"/>
      <c r="C121" s="187"/>
      <c r="D121" s="1323"/>
      <c r="E121" s="187"/>
      <c r="F121" s="531"/>
      <c r="G121" s="187"/>
      <c r="H121" s="623"/>
      <c r="I121" s="881"/>
      <c r="J121" s="1569"/>
      <c r="K121" s="66">
        <f t="shared" si="28"/>
        <v>0</v>
      </c>
      <c r="L121" s="66">
        <f t="shared" si="28"/>
        <v>0</v>
      </c>
      <c r="M121" s="66">
        <f t="shared" si="28"/>
        <v>0</v>
      </c>
      <c r="N121" s="66">
        <f t="shared" si="28"/>
        <v>0</v>
      </c>
      <c r="O121" s="1444">
        <f t="shared" si="28"/>
        <v>0</v>
      </c>
      <c r="P121" s="187"/>
      <c r="Q121" s="77"/>
      <c r="R121" s="109"/>
      <c r="S121" s="109"/>
    </row>
    <row r="122" spans="2:19" x14ac:dyDescent="0.2">
      <c r="B122" s="75"/>
      <c r="C122" s="187"/>
      <c r="D122" s="195"/>
      <c r="E122" s="187"/>
      <c r="F122" s="70"/>
      <c r="G122" s="187"/>
      <c r="H122" s="1069"/>
      <c r="I122" s="1069"/>
      <c r="J122" s="1069"/>
      <c r="K122" s="499">
        <f t="shared" ref="K122:O122" si="29">SUM(K119:K121)</f>
        <v>0</v>
      </c>
      <c r="L122" s="499">
        <f t="shared" si="29"/>
        <v>0</v>
      </c>
      <c r="M122" s="499">
        <f t="shared" si="29"/>
        <v>0</v>
      </c>
      <c r="N122" s="499">
        <f t="shared" si="29"/>
        <v>0</v>
      </c>
      <c r="O122" s="499">
        <f t="shared" si="29"/>
        <v>0</v>
      </c>
      <c r="P122" s="187"/>
      <c r="Q122" s="77"/>
      <c r="R122" s="109"/>
      <c r="S122" s="109"/>
    </row>
    <row r="123" spans="2:19" x14ac:dyDescent="0.2">
      <c r="B123" s="75"/>
      <c r="C123" s="187"/>
      <c r="D123" s="513"/>
      <c r="E123" s="514"/>
      <c r="F123" s="515"/>
      <c r="G123" s="514"/>
      <c r="H123" s="515"/>
      <c r="I123" s="515"/>
      <c r="J123" s="1582"/>
      <c r="K123" s="515"/>
      <c r="L123" s="515"/>
      <c r="M123" s="515"/>
      <c r="N123" s="515"/>
      <c r="O123" s="515"/>
      <c r="P123" s="187"/>
      <c r="Q123" s="77"/>
      <c r="R123" s="109"/>
      <c r="S123" s="109"/>
    </row>
    <row r="124" spans="2:19" x14ac:dyDescent="0.2">
      <c r="B124" s="75"/>
      <c r="C124" s="187"/>
      <c r="D124" s="512"/>
      <c r="E124" s="485"/>
      <c r="F124" s="78"/>
      <c r="G124" s="485"/>
      <c r="H124" s="78"/>
      <c r="I124" s="78"/>
      <c r="J124" s="857"/>
      <c r="K124" s="78"/>
      <c r="L124" s="78"/>
      <c r="M124" s="78"/>
      <c r="N124" s="78"/>
      <c r="O124" s="78"/>
      <c r="P124" s="187"/>
      <c r="Q124" s="77"/>
      <c r="R124" s="109"/>
      <c r="S124" s="109"/>
    </row>
    <row r="125" spans="2:19" x14ac:dyDescent="0.2">
      <c r="B125" s="75"/>
      <c r="C125" s="187"/>
      <c r="D125" s="195" t="s">
        <v>42</v>
      </c>
      <c r="E125" s="187"/>
      <c r="F125" s="70"/>
      <c r="G125" s="187"/>
      <c r="H125" s="187"/>
      <c r="I125" s="187"/>
      <c r="J125" s="622"/>
      <c r="K125" s="70"/>
      <c r="L125" s="70"/>
      <c r="M125" s="70"/>
      <c r="N125" s="70"/>
      <c r="O125" s="70"/>
      <c r="P125" s="187"/>
      <c r="Q125" s="77"/>
      <c r="R125" s="109"/>
      <c r="S125" s="109"/>
    </row>
    <row r="126" spans="2:19" x14ac:dyDescent="0.2">
      <c r="B126" s="75"/>
      <c r="C126" s="187"/>
      <c r="D126" s="509"/>
      <c r="E126" s="187"/>
      <c r="F126" s="531"/>
      <c r="G126" s="187"/>
      <c r="H126" s="881"/>
      <c r="I126" s="881"/>
      <c r="J126" s="1569"/>
      <c r="K126" s="511">
        <f t="shared" ref="K126:L128" si="30">J126</f>
        <v>0</v>
      </c>
      <c r="L126" s="511">
        <f t="shared" si="30"/>
        <v>0</v>
      </c>
      <c r="M126" s="511">
        <f t="shared" ref="M126:O128" si="31">L126</f>
        <v>0</v>
      </c>
      <c r="N126" s="511">
        <f t="shared" si="31"/>
        <v>0</v>
      </c>
      <c r="O126" s="1443">
        <f t="shared" si="31"/>
        <v>0</v>
      </c>
      <c r="P126" s="187"/>
      <c r="Q126" s="77"/>
      <c r="R126" s="109"/>
      <c r="S126" s="109"/>
    </row>
    <row r="127" spans="2:19" x14ac:dyDescent="0.2">
      <c r="B127" s="75"/>
      <c r="C127" s="187"/>
      <c r="D127" s="509"/>
      <c r="E127" s="187"/>
      <c r="F127" s="531"/>
      <c r="G127" s="187"/>
      <c r="H127" s="881"/>
      <c r="I127" s="881"/>
      <c r="J127" s="1569"/>
      <c r="K127" s="511">
        <f t="shared" si="30"/>
        <v>0</v>
      </c>
      <c r="L127" s="511">
        <f t="shared" si="30"/>
        <v>0</v>
      </c>
      <c r="M127" s="511">
        <f t="shared" si="31"/>
        <v>0</v>
      </c>
      <c r="N127" s="511">
        <f t="shared" si="31"/>
        <v>0</v>
      </c>
      <c r="O127" s="1443">
        <f t="shared" si="31"/>
        <v>0</v>
      </c>
      <c r="P127" s="187"/>
      <c r="Q127" s="77"/>
      <c r="R127" s="109"/>
      <c r="S127" s="109"/>
    </row>
    <row r="128" spans="2:19" x14ac:dyDescent="0.2">
      <c r="B128" s="75"/>
      <c r="C128" s="187"/>
      <c r="D128" s="509"/>
      <c r="E128" s="187"/>
      <c r="F128" s="531"/>
      <c r="G128" s="187"/>
      <c r="H128" s="881"/>
      <c r="I128" s="881"/>
      <c r="J128" s="1569"/>
      <c r="K128" s="511">
        <f t="shared" si="30"/>
        <v>0</v>
      </c>
      <c r="L128" s="511">
        <f t="shared" si="30"/>
        <v>0</v>
      </c>
      <c r="M128" s="511">
        <f t="shared" si="31"/>
        <v>0</v>
      </c>
      <c r="N128" s="511">
        <f t="shared" si="31"/>
        <v>0</v>
      </c>
      <c r="O128" s="1443">
        <f t="shared" si="31"/>
        <v>0</v>
      </c>
      <c r="P128" s="187"/>
      <c r="Q128" s="77"/>
      <c r="R128" s="109"/>
      <c r="S128" s="109"/>
    </row>
    <row r="129" spans="2:19" x14ac:dyDescent="0.2">
      <c r="B129" s="75"/>
      <c r="C129" s="187"/>
      <c r="D129" s="195"/>
      <c r="E129" s="187"/>
      <c r="F129" s="70"/>
      <c r="G129" s="187"/>
      <c r="H129" s="1069"/>
      <c r="I129" s="1069"/>
      <c r="J129" s="1069"/>
      <c r="K129" s="499">
        <f t="shared" ref="K129:O129" si="32">SUM(K126:K128)</f>
        <v>0</v>
      </c>
      <c r="L129" s="499">
        <f t="shared" si="32"/>
        <v>0</v>
      </c>
      <c r="M129" s="499">
        <f t="shared" si="32"/>
        <v>0</v>
      </c>
      <c r="N129" s="499">
        <f t="shared" si="32"/>
        <v>0</v>
      </c>
      <c r="O129" s="499">
        <f t="shared" si="32"/>
        <v>0</v>
      </c>
      <c r="P129" s="187"/>
      <c r="Q129" s="77"/>
      <c r="R129" s="109"/>
      <c r="S129" s="109"/>
    </row>
    <row r="130" spans="2:19" x14ac:dyDescent="0.2">
      <c r="B130" s="75"/>
      <c r="C130" s="187"/>
      <c r="D130" s="513"/>
      <c r="E130" s="514"/>
      <c r="F130" s="515"/>
      <c r="G130" s="514"/>
      <c r="H130" s="515"/>
      <c r="I130" s="515"/>
      <c r="J130" s="1582"/>
      <c r="K130" s="515"/>
      <c r="L130" s="515"/>
      <c r="M130" s="515"/>
      <c r="N130" s="515"/>
      <c r="O130" s="515"/>
      <c r="P130" s="187"/>
      <c r="Q130" s="77"/>
      <c r="R130" s="109"/>
      <c r="S130" s="109"/>
    </row>
    <row r="131" spans="2:19" x14ac:dyDescent="0.2">
      <c r="B131" s="75"/>
      <c r="C131" s="187"/>
      <c r="D131" s="512"/>
      <c r="E131" s="485"/>
      <c r="F131" s="78"/>
      <c r="G131" s="485"/>
      <c r="H131" s="78"/>
      <c r="I131" s="78"/>
      <c r="J131" s="857"/>
      <c r="K131" s="78"/>
      <c r="L131" s="78"/>
      <c r="M131" s="78"/>
      <c r="N131" s="78"/>
      <c r="O131" s="78"/>
      <c r="P131" s="187"/>
      <c r="Q131" s="77"/>
      <c r="R131" s="109"/>
      <c r="S131" s="109"/>
    </row>
    <row r="132" spans="2:19" x14ac:dyDescent="0.2">
      <c r="B132" s="75"/>
      <c r="C132" s="187"/>
      <c r="D132" s="195" t="s">
        <v>132</v>
      </c>
      <c r="E132" s="187"/>
      <c r="F132" s="70"/>
      <c r="G132" s="187"/>
      <c r="H132" s="856"/>
      <c r="I132" s="856"/>
      <c r="J132" s="856"/>
      <c r="K132" s="519">
        <f t="shared" ref="K132:O132" si="33">K122+K129</f>
        <v>0</v>
      </c>
      <c r="L132" s="519">
        <f t="shared" si="33"/>
        <v>0</v>
      </c>
      <c r="M132" s="519">
        <f t="shared" si="33"/>
        <v>0</v>
      </c>
      <c r="N132" s="519">
        <f t="shared" si="33"/>
        <v>0</v>
      </c>
      <c r="O132" s="519">
        <f t="shared" si="33"/>
        <v>0</v>
      </c>
      <c r="P132" s="187"/>
      <c r="Q132" s="77"/>
      <c r="R132" s="109"/>
      <c r="S132" s="109"/>
    </row>
    <row r="133" spans="2:19" x14ac:dyDescent="0.2">
      <c r="B133" s="75"/>
      <c r="C133" s="187"/>
      <c r="D133" s="187"/>
      <c r="E133" s="187"/>
      <c r="F133" s="70"/>
      <c r="G133" s="187"/>
      <c r="H133" s="187"/>
      <c r="I133" s="187"/>
      <c r="J133" s="622"/>
      <c r="K133" s="70"/>
      <c r="L133" s="70"/>
      <c r="M133" s="70"/>
      <c r="N133" s="70"/>
      <c r="O133" s="70"/>
      <c r="P133" s="187"/>
      <c r="Q133" s="77"/>
      <c r="R133" s="109"/>
      <c r="S133" s="109"/>
    </row>
    <row r="134" spans="2:19" x14ac:dyDescent="0.2">
      <c r="B134" s="75"/>
      <c r="C134" s="76"/>
      <c r="D134" s="76"/>
      <c r="E134" s="76"/>
      <c r="F134" s="69"/>
      <c r="G134" s="76"/>
      <c r="H134" s="76"/>
      <c r="I134" s="76"/>
      <c r="J134" s="69"/>
      <c r="K134" s="69"/>
      <c r="L134" s="69"/>
      <c r="M134" s="69"/>
      <c r="N134" s="69"/>
      <c r="O134" s="69"/>
      <c r="P134" s="76"/>
      <c r="Q134" s="77"/>
      <c r="R134" s="109"/>
      <c r="S134" s="109"/>
    </row>
    <row r="135" spans="2:19" x14ac:dyDescent="0.2">
      <c r="B135" s="75"/>
      <c r="C135" s="187"/>
      <c r="D135" s="187"/>
      <c r="E135" s="187"/>
      <c r="F135" s="70"/>
      <c r="G135" s="187"/>
      <c r="H135" s="187"/>
      <c r="I135" s="187"/>
      <c r="J135" s="70"/>
      <c r="K135" s="70"/>
      <c r="L135" s="70"/>
      <c r="M135" s="70"/>
      <c r="N135" s="70"/>
      <c r="O135" s="70"/>
      <c r="P135" s="187"/>
      <c r="Q135" s="77"/>
      <c r="R135" s="109"/>
      <c r="S135" s="109"/>
    </row>
    <row r="136" spans="2:19" x14ac:dyDescent="0.2">
      <c r="B136" s="75"/>
      <c r="C136" s="187"/>
      <c r="D136" s="567" t="s">
        <v>176</v>
      </c>
      <c r="E136" s="187"/>
      <c r="F136" s="70"/>
      <c r="G136" s="187"/>
      <c r="H136" s="187"/>
      <c r="I136" s="187"/>
      <c r="J136" s="70"/>
      <c r="K136" s="70"/>
      <c r="L136" s="70"/>
      <c r="M136" s="70"/>
      <c r="N136" s="70"/>
      <c r="O136" s="70"/>
      <c r="P136" s="187"/>
      <c r="Q136" s="77"/>
      <c r="R136" s="109"/>
      <c r="S136" s="109"/>
    </row>
    <row r="137" spans="2:19" x14ac:dyDescent="0.2">
      <c r="B137" s="75"/>
      <c r="C137" s="187"/>
      <c r="D137" s="187"/>
      <c r="E137" s="187"/>
      <c r="F137" s="70"/>
      <c r="G137" s="187"/>
      <c r="H137" s="187"/>
      <c r="I137" s="187"/>
      <c r="J137" s="70"/>
      <c r="K137" s="70"/>
      <c r="L137" s="70"/>
      <c r="M137" s="70"/>
      <c r="N137" s="70"/>
      <c r="O137" s="70"/>
      <c r="P137" s="187"/>
      <c r="Q137" s="77"/>
      <c r="R137" s="109"/>
      <c r="S137" s="109"/>
    </row>
    <row r="138" spans="2:19" x14ac:dyDescent="0.2">
      <c r="B138" s="75"/>
      <c r="C138" s="187"/>
      <c r="D138" s="195" t="s">
        <v>41</v>
      </c>
      <c r="E138" s="187"/>
      <c r="F138" s="70"/>
      <c r="G138" s="187"/>
      <c r="H138" s="187"/>
      <c r="I138" s="187"/>
      <c r="J138" s="622"/>
      <c r="K138" s="70"/>
      <c r="L138" s="70"/>
      <c r="M138" s="70"/>
      <c r="N138" s="70"/>
      <c r="O138" s="70"/>
      <c r="P138" s="187"/>
      <c r="Q138" s="77"/>
      <c r="R138" s="109"/>
      <c r="S138" s="109"/>
    </row>
    <row r="139" spans="2:19" x14ac:dyDescent="0.2">
      <c r="B139" s="75"/>
      <c r="C139" s="187"/>
      <c r="D139" s="187" t="s">
        <v>739</v>
      </c>
      <c r="E139" s="187"/>
      <c r="F139" s="118"/>
      <c r="G139" s="187"/>
      <c r="H139" s="187"/>
      <c r="I139" s="187"/>
      <c r="J139" s="1584"/>
      <c r="K139" s="1279">
        <f>'LWOO-PRO'!P26</f>
        <v>5081.72</v>
      </c>
      <c r="L139" s="1279">
        <f>'LWOO-PRO'!Q26</f>
        <v>0</v>
      </c>
      <c r="M139" s="1279">
        <f>'LWOO-PRO'!R26</f>
        <v>0</v>
      </c>
      <c r="N139" s="1279">
        <f>'LWOO-PRO'!S26</f>
        <v>0</v>
      </c>
      <c r="O139" s="1279">
        <f>'LWOO-PRO'!T26</f>
        <v>0</v>
      </c>
      <c r="P139" s="187"/>
      <c r="Q139" s="77"/>
      <c r="R139" s="109"/>
      <c r="S139" s="109"/>
    </row>
    <row r="140" spans="2:19" x14ac:dyDescent="0.2">
      <c r="B140" s="75"/>
      <c r="C140" s="187"/>
      <c r="D140" s="187" t="s">
        <v>740</v>
      </c>
      <c r="E140" s="187"/>
      <c r="F140" s="118"/>
      <c r="G140" s="187"/>
      <c r="H140" s="187"/>
      <c r="I140" s="187"/>
      <c r="J140" s="1584"/>
      <c r="K140" s="1279">
        <f>'LWOO-PRO'!P29</f>
        <v>76588.78</v>
      </c>
      <c r="L140" s="1279">
        <f>'LWOO-PRO'!Q29</f>
        <v>84861.599999999991</v>
      </c>
      <c r="M140" s="1279">
        <f>'LWOO-PRO'!R29</f>
        <v>86822.400000000009</v>
      </c>
      <c r="N140" s="1279">
        <f>'LWOO-PRO'!S29</f>
        <v>86822.400000000009</v>
      </c>
      <c r="O140" s="1279">
        <f>'LWOO-PRO'!T29</f>
        <v>82759.44</v>
      </c>
      <c r="P140" s="187"/>
      <c r="Q140" s="77"/>
      <c r="R140" s="109"/>
      <c r="S140" s="109"/>
    </row>
    <row r="141" spans="2:19" x14ac:dyDescent="0.2">
      <c r="B141" s="75"/>
      <c r="C141" s="187"/>
      <c r="D141" s="187" t="s">
        <v>806</v>
      </c>
      <c r="E141" s="187"/>
      <c r="F141" s="118"/>
      <c r="G141" s="187"/>
      <c r="H141" s="187"/>
      <c r="I141" s="187"/>
      <c r="J141" s="1585"/>
      <c r="K141" s="1283">
        <f t="shared" ref="K141:O141" si="34">SUM(K139:K140)</f>
        <v>81670.5</v>
      </c>
      <c r="L141" s="1283">
        <f t="shared" si="34"/>
        <v>84861.599999999991</v>
      </c>
      <c r="M141" s="1283">
        <f t="shared" si="34"/>
        <v>86822.400000000009</v>
      </c>
      <c r="N141" s="1283">
        <f t="shared" si="34"/>
        <v>86822.400000000009</v>
      </c>
      <c r="O141" s="1283">
        <f t="shared" si="34"/>
        <v>82759.44</v>
      </c>
      <c r="P141" s="187"/>
      <c r="Q141" s="77"/>
      <c r="R141" s="109"/>
      <c r="S141" s="109"/>
    </row>
    <row r="142" spans="2:19" x14ac:dyDescent="0.2">
      <c r="B142" s="75"/>
      <c r="C142" s="187"/>
      <c r="D142" s="195"/>
      <c r="E142" s="187"/>
      <c r="F142" s="622"/>
      <c r="G142" s="618"/>
      <c r="H142" s="618"/>
      <c r="I142" s="618"/>
      <c r="J142" s="622"/>
      <c r="K142" s="622"/>
      <c r="L142" s="622"/>
      <c r="M142" s="622"/>
      <c r="N142" s="622"/>
      <c r="O142" s="622"/>
      <c r="P142" s="187"/>
      <c r="Q142" s="77"/>
      <c r="R142" s="109"/>
      <c r="S142" s="109"/>
    </row>
    <row r="143" spans="2:19" x14ac:dyDescent="0.2">
      <c r="B143" s="75"/>
      <c r="C143" s="187"/>
      <c r="D143" s="618" t="s">
        <v>803</v>
      </c>
      <c r="E143" s="187"/>
      <c r="F143" s="531"/>
      <c r="G143" s="187"/>
      <c r="H143" s="623"/>
      <c r="I143" s="623"/>
      <c r="J143" s="1569"/>
      <c r="K143" s="66">
        <f t="shared" ref="K143:O143" si="35">J143</f>
        <v>0</v>
      </c>
      <c r="L143" s="66">
        <f t="shared" si="35"/>
        <v>0</v>
      </c>
      <c r="M143" s="66">
        <f t="shared" si="35"/>
        <v>0</v>
      </c>
      <c r="N143" s="66">
        <f t="shared" si="35"/>
        <v>0</v>
      </c>
      <c r="O143" s="1444">
        <f t="shared" si="35"/>
        <v>0</v>
      </c>
      <c r="P143" s="187"/>
      <c r="Q143" s="77"/>
      <c r="R143" s="109"/>
      <c r="S143" s="109"/>
    </row>
    <row r="144" spans="2:19" x14ac:dyDescent="0.2">
      <c r="B144" s="75"/>
      <c r="C144" s="187"/>
      <c r="D144" s="509"/>
      <c r="E144" s="187"/>
      <c r="F144" s="531"/>
      <c r="G144" s="187"/>
      <c r="H144" s="623"/>
      <c r="I144" s="623"/>
      <c r="J144" s="1569"/>
      <c r="K144" s="66">
        <f t="shared" ref="K144:O147" si="36">J144</f>
        <v>0</v>
      </c>
      <c r="L144" s="66">
        <f t="shared" si="36"/>
        <v>0</v>
      </c>
      <c r="M144" s="66">
        <f t="shared" si="36"/>
        <v>0</v>
      </c>
      <c r="N144" s="66">
        <f t="shared" si="36"/>
        <v>0</v>
      </c>
      <c r="O144" s="1444">
        <f t="shared" si="36"/>
        <v>0</v>
      </c>
      <c r="P144" s="187"/>
      <c r="Q144" s="77"/>
      <c r="R144" s="109"/>
      <c r="S144" s="109"/>
    </row>
    <row r="145" spans="2:19" x14ac:dyDescent="0.2">
      <c r="B145" s="75"/>
      <c r="C145" s="187"/>
      <c r="D145" s="509"/>
      <c r="E145" s="187"/>
      <c r="F145" s="531"/>
      <c r="G145" s="187"/>
      <c r="H145" s="623"/>
      <c r="I145" s="623"/>
      <c r="J145" s="1569"/>
      <c r="K145" s="66">
        <f t="shared" si="36"/>
        <v>0</v>
      </c>
      <c r="L145" s="66">
        <f t="shared" si="36"/>
        <v>0</v>
      </c>
      <c r="M145" s="66">
        <f t="shared" si="36"/>
        <v>0</v>
      </c>
      <c r="N145" s="66">
        <f t="shared" si="36"/>
        <v>0</v>
      </c>
      <c r="O145" s="1444">
        <f t="shared" si="36"/>
        <v>0</v>
      </c>
      <c r="P145" s="187"/>
      <c r="Q145" s="77"/>
      <c r="R145" s="109"/>
      <c r="S145" s="109"/>
    </row>
    <row r="146" spans="2:19" x14ac:dyDescent="0.2">
      <c r="B146" s="75"/>
      <c r="C146" s="187"/>
      <c r="D146" s="508"/>
      <c r="E146" s="187"/>
      <c r="F146" s="531"/>
      <c r="G146" s="187"/>
      <c r="H146" s="623"/>
      <c r="I146" s="623"/>
      <c r="J146" s="1569"/>
      <c r="K146" s="66">
        <f t="shared" si="36"/>
        <v>0</v>
      </c>
      <c r="L146" s="66">
        <f t="shared" si="36"/>
        <v>0</v>
      </c>
      <c r="M146" s="66">
        <f t="shared" si="36"/>
        <v>0</v>
      </c>
      <c r="N146" s="66">
        <f t="shared" si="36"/>
        <v>0</v>
      </c>
      <c r="O146" s="1444">
        <f t="shared" si="36"/>
        <v>0</v>
      </c>
      <c r="P146" s="187"/>
      <c r="Q146" s="77"/>
      <c r="R146" s="109"/>
      <c r="S146" s="109"/>
    </row>
    <row r="147" spans="2:19" x14ac:dyDescent="0.2">
      <c r="B147" s="75"/>
      <c r="C147" s="187"/>
      <c r="D147" s="509"/>
      <c r="E147" s="187"/>
      <c r="F147" s="531"/>
      <c r="G147" s="187"/>
      <c r="H147" s="623"/>
      <c r="I147" s="623"/>
      <c r="J147" s="1569"/>
      <c r="K147" s="66">
        <f t="shared" si="36"/>
        <v>0</v>
      </c>
      <c r="L147" s="66">
        <f t="shared" si="36"/>
        <v>0</v>
      </c>
      <c r="M147" s="66">
        <f t="shared" si="36"/>
        <v>0</v>
      </c>
      <c r="N147" s="66">
        <f t="shared" si="36"/>
        <v>0</v>
      </c>
      <c r="O147" s="1444">
        <f t="shared" si="36"/>
        <v>0</v>
      </c>
      <c r="P147" s="187"/>
      <c r="Q147" s="77"/>
      <c r="R147" s="109"/>
      <c r="S147" s="109"/>
    </row>
    <row r="148" spans="2:19" x14ac:dyDescent="0.2">
      <c r="B148" s="75"/>
      <c r="C148" s="187"/>
      <c r="D148" s="508"/>
      <c r="E148" s="187"/>
      <c r="F148" s="531"/>
      <c r="G148" s="187"/>
      <c r="H148" s="623"/>
      <c r="I148" s="623"/>
      <c r="J148" s="1569"/>
      <c r="K148" s="66">
        <f t="shared" ref="K148:M150" si="37">+J148</f>
        <v>0</v>
      </c>
      <c r="L148" s="66">
        <f t="shared" si="37"/>
        <v>0</v>
      </c>
      <c r="M148" s="66">
        <f t="shared" si="37"/>
        <v>0</v>
      </c>
      <c r="N148" s="66">
        <f t="shared" ref="N148:O150" si="38">+M148</f>
        <v>0</v>
      </c>
      <c r="O148" s="1444">
        <f t="shared" si="38"/>
        <v>0</v>
      </c>
      <c r="P148" s="187"/>
      <c r="Q148" s="77"/>
      <c r="R148" s="109"/>
      <c r="S148" s="109"/>
    </row>
    <row r="149" spans="2:19" x14ac:dyDescent="0.2">
      <c r="B149" s="75"/>
      <c r="C149" s="187"/>
      <c r="D149" s="509"/>
      <c r="E149" s="187"/>
      <c r="F149" s="531"/>
      <c r="G149" s="187"/>
      <c r="H149" s="623"/>
      <c r="I149" s="623"/>
      <c r="J149" s="1569"/>
      <c r="K149" s="66">
        <f t="shared" si="37"/>
        <v>0</v>
      </c>
      <c r="L149" s="66">
        <f t="shared" si="37"/>
        <v>0</v>
      </c>
      <c r="M149" s="66">
        <f t="shared" si="37"/>
        <v>0</v>
      </c>
      <c r="N149" s="66">
        <f t="shared" si="38"/>
        <v>0</v>
      </c>
      <c r="O149" s="1444">
        <f t="shared" si="38"/>
        <v>0</v>
      </c>
      <c r="P149" s="187"/>
      <c r="Q149" s="77"/>
      <c r="R149" s="109"/>
      <c r="S149" s="109"/>
    </row>
    <row r="150" spans="2:19" x14ac:dyDescent="0.2">
      <c r="B150" s="75"/>
      <c r="C150" s="187"/>
      <c r="D150" s="509"/>
      <c r="E150" s="187"/>
      <c r="F150" s="531"/>
      <c r="G150" s="187"/>
      <c r="H150" s="623"/>
      <c r="I150" s="623"/>
      <c r="J150" s="1569"/>
      <c r="K150" s="66">
        <f t="shared" si="37"/>
        <v>0</v>
      </c>
      <c r="L150" s="66">
        <f t="shared" si="37"/>
        <v>0</v>
      </c>
      <c r="M150" s="66">
        <f t="shared" si="37"/>
        <v>0</v>
      </c>
      <c r="N150" s="66">
        <f t="shared" si="38"/>
        <v>0</v>
      </c>
      <c r="O150" s="1444">
        <f t="shared" si="38"/>
        <v>0</v>
      </c>
      <c r="P150" s="187"/>
      <c r="Q150" s="77"/>
      <c r="R150" s="109"/>
      <c r="S150" s="109"/>
    </row>
    <row r="151" spans="2:19" x14ac:dyDescent="0.2">
      <c r="B151" s="75"/>
      <c r="C151" s="187"/>
      <c r="D151" s="195"/>
      <c r="E151" s="187"/>
      <c r="F151" s="70"/>
      <c r="G151" s="187"/>
      <c r="H151" s="856"/>
      <c r="I151" s="856"/>
      <c r="J151" s="856"/>
      <c r="K151" s="519">
        <f t="shared" ref="K151:O151" si="39">SUM(K141:K150)</f>
        <v>81670.5</v>
      </c>
      <c r="L151" s="519">
        <f t="shared" si="39"/>
        <v>84861.599999999991</v>
      </c>
      <c r="M151" s="519">
        <f t="shared" si="39"/>
        <v>86822.400000000009</v>
      </c>
      <c r="N151" s="519">
        <f t="shared" si="39"/>
        <v>86822.400000000009</v>
      </c>
      <c r="O151" s="519">
        <f t="shared" si="39"/>
        <v>82759.44</v>
      </c>
      <c r="P151" s="187"/>
      <c r="Q151" s="77"/>
      <c r="R151" s="109"/>
      <c r="S151" s="109"/>
    </row>
    <row r="152" spans="2:19" x14ac:dyDescent="0.2">
      <c r="B152" s="75"/>
      <c r="C152" s="187"/>
      <c r="D152" s="1235"/>
      <c r="E152" s="1236"/>
      <c r="F152" s="1237"/>
      <c r="G152" s="1236"/>
      <c r="H152" s="1237"/>
      <c r="I152" s="1237"/>
      <c r="J152" s="1570"/>
      <c r="K152" s="1237"/>
      <c r="L152" s="1237"/>
      <c r="M152" s="1237"/>
      <c r="N152" s="1237"/>
      <c r="O152" s="1237"/>
      <c r="P152" s="187"/>
      <c r="Q152" s="77"/>
      <c r="R152" s="109"/>
      <c r="S152" s="109"/>
    </row>
    <row r="153" spans="2:19" x14ac:dyDescent="0.2">
      <c r="B153" s="75"/>
      <c r="C153" s="187"/>
      <c r="D153" s="1238"/>
      <c r="E153" s="1239"/>
      <c r="F153" s="1240"/>
      <c r="G153" s="1239"/>
      <c r="H153" s="1240"/>
      <c r="I153" s="1240"/>
      <c r="J153" s="1586"/>
      <c r="K153" s="1240"/>
      <c r="L153" s="1240"/>
      <c r="M153" s="1240"/>
      <c r="N153" s="1240"/>
      <c r="O153" s="1240"/>
      <c r="P153" s="187"/>
      <c r="Q153" s="77"/>
      <c r="R153" s="109"/>
      <c r="S153" s="109"/>
    </row>
    <row r="154" spans="2:19" x14ac:dyDescent="0.2">
      <c r="B154" s="75"/>
      <c r="C154" s="187"/>
      <c r="D154" s="195" t="s">
        <v>42</v>
      </c>
      <c r="E154" s="34"/>
      <c r="F154" s="184"/>
      <c r="G154" s="34"/>
      <c r="H154" s="1067"/>
      <c r="I154" s="1067"/>
      <c r="J154" s="1067"/>
      <c r="K154" s="34"/>
      <c r="L154" s="34"/>
      <c r="M154" s="34"/>
      <c r="N154" s="34"/>
      <c r="O154" s="34"/>
      <c r="P154" s="187"/>
      <c r="Q154" s="77"/>
      <c r="R154" s="109"/>
      <c r="S154" s="109"/>
    </row>
    <row r="155" spans="2:19" x14ac:dyDescent="0.2">
      <c r="B155" s="75"/>
      <c r="C155" s="187"/>
      <c r="D155" s="187" t="s">
        <v>472</v>
      </c>
      <c r="E155" s="187"/>
      <c r="F155" s="531"/>
      <c r="G155" s="187"/>
      <c r="H155" s="623"/>
      <c r="I155" s="623"/>
      <c r="J155" s="623"/>
      <c r="K155" s="67">
        <f>+'overdr VSO'!K21</f>
        <v>363562.76</v>
      </c>
      <c r="L155" s="67">
        <f>+'overdr VSO'!L21</f>
        <v>357081.66000000003</v>
      </c>
      <c r="M155" s="67">
        <f>+'overdr VSO'!M21</f>
        <v>357081.66000000003</v>
      </c>
      <c r="N155" s="67">
        <f>+'overdr VSO'!N21</f>
        <v>357081.66000000003</v>
      </c>
      <c r="O155" s="67">
        <f>+'overdr VSO'!O21</f>
        <v>357081.66000000003</v>
      </c>
      <c r="P155" s="187"/>
      <c r="Q155" s="77"/>
      <c r="R155" s="109"/>
      <c r="S155" s="109"/>
    </row>
    <row r="156" spans="2:19" x14ac:dyDescent="0.2">
      <c r="B156" s="75"/>
      <c r="C156" s="187"/>
      <c r="D156" s="187" t="s">
        <v>473</v>
      </c>
      <c r="E156" s="187"/>
      <c r="F156" s="531"/>
      <c r="G156" s="187"/>
      <c r="H156" s="623"/>
      <c r="I156" s="623"/>
      <c r="J156" s="1569"/>
      <c r="K156" s="1229">
        <v>15724.46</v>
      </c>
      <c r="L156" s="1229">
        <v>15913.18</v>
      </c>
      <c r="M156" s="1229">
        <f t="shared" ref="M156:O156" si="40">+L156</f>
        <v>15913.18</v>
      </c>
      <c r="N156" s="1229">
        <f t="shared" si="40"/>
        <v>15913.18</v>
      </c>
      <c r="O156" s="1445">
        <f t="shared" si="40"/>
        <v>15913.18</v>
      </c>
      <c r="P156" s="187"/>
      <c r="Q156" s="77"/>
      <c r="R156" s="109"/>
      <c r="S156" s="109"/>
    </row>
    <row r="157" spans="2:19" x14ac:dyDescent="0.2">
      <c r="B157" s="75"/>
      <c r="C157" s="187"/>
      <c r="D157" s="187" t="s">
        <v>474</v>
      </c>
      <c r="E157" s="187"/>
      <c r="F157" s="806"/>
      <c r="G157" s="187"/>
      <c r="H157" s="619"/>
      <c r="I157" s="619"/>
      <c r="J157" s="619"/>
      <c r="K157" s="616">
        <f t="shared" ref="K157:O157" si="41">SUM(K155:K156)</f>
        <v>379287.22000000003</v>
      </c>
      <c r="L157" s="616">
        <f t="shared" si="41"/>
        <v>372994.84</v>
      </c>
      <c r="M157" s="616">
        <f t="shared" si="41"/>
        <v>372994.84</v>
      </c>
      <c r="N157" s="616">
        <f t="shared" si="41"/>
        <v>372994.84</v>
      </c>
      <c r="O157" s="616">
        <f t="shared" si="41"/>
        <v>372994.84</v>
      </c>
      <c r="P157" s="187"/>
      <c r="Q157" s="77"/>
      <c r="R157" s="109"/>
      <c r="S157" s="109"/>
    </row>
    <row r="158" spans="2:19" x14ac:dyDescent="0.2">
      <c r="B158" s="75"/>
      <c r="C158" s="187"/>
      <c r="D158" s="618"/>
      <c r="E158" s="618"/>
      <c r="F158" s="806"/>
      <c r="G158" s="618"/>
      <c r="H158" s="619"/>
      <c r="I158" s="619"/>
      <c r="J158" s="619"/>
      <c r="K158" s="619"/>
      <c r="L158" s="619"/>
      <c r="M158" s="619"/>
      <c r="N158" s="619"/>
      <c r="O158" s="619"/>
      <c r="P158" s="618"/>
      <c r="Q158" s="77"/>
      <c r="R158" s="109"/>
      <c r="S158" s="109"/>
    </row>
    <row r="159" spans="2:19" x14ac:dyDescent="0.2">
      <c r="B159" s="75"/>
      <c r="C159" s="187"/>
      <c r="D159" s="618" t="s">
        <v>803</v>
      </c>
      <c r="E159" s="187"/>
      <c r="F159" s="531"/>
      <c r="G159" s="187"/>
      <c r="H159" s="623"/>
      <c r="I159" s="623"/>
      <c r="J159" s="1569"/>
      <c r="K159" s="511">
        <f t="shared" ref="K159:K166" si="42">J159</f>
        <v>0</v>
      </c>
      <c r="L159" s="511">
        <f t="shared" ref="L159:L166" si="43">K159</f>
        <v>0</v>
      </c>
      <c r="M159" s="511">
        <f t="shared" ref="M159:M166" si="44">L159</f>
        <v>0</v>
      </c>
      <c r="N159" s="511">
        <f t="shared" ref="N159:O166" si="45">M159</f>
        <v>0</v>
      </c>
      <c r="O159" s="1443">
        <f t="shared" si="45"/>
        <v>0</v>
      </c>
      <c r="P159" s="187"/>
      <c r="Q159" s="77"/>
      <c r="R159" s="109"/>
      <c r="S159" s="109"/>
    </row>
    <row r="160" spans="2:19" x14ac:dyDescent="0.2">
      <c r="B160" s="75"/>
      <c r="C160" s="187"/>
      <c r="D160" s="509"/>
      <c r="E160" s="187"/>
      <c r="F160" s="531"/>
      <c r="G160" s="187"/>
      <c r="H160" s="623"/>
      <c r="I160" s="623"/>
      <c r="J160" s="1569"/>
      <c r="K160" s="511">
        <f t="shared" si="42"/>
        <v>0</v>
      </c>
      <c r="L160" s="511">
        <f t="shared" si="43"/>
        <v>0</v>
      </c>
      <c r="M160" s="511">
        <f t="shared" si="44"/>
        <v>0</v>
      </c>
      <c r="N160" s="511">
        <f t="shared" si="45"/>
        <v>0</v>
      </c>
      <c r="O160" s="1443">
        <f t="shared" si="45"/>
        <v>0</v>
      </c>
      <c r="P160" s="187"/>
      <c r="Q160" s="77"/>
      <c r="R160" s="109"/>
      <c r="S160" s="109"/>
    </row>
    <row r="161" spans="2:19" x14ac:dyDescent="0.2">
      <c r="B161" s="75"/>
      <c r="C161" s="187"/>
      <c r="D161" s="509"/>
      <c r="E161" s="187"/>
      <c r="F161" s="531"/>
      <c r="G161" s="187"/>
      <c r="H161" s="623"/>
      <c r="I161" s="623"/>
      <c r="J161" s="1569"/>
      <c r="K161" s="511">
        <f t="shared" si="42"/>
        <v>0</v>
      </c>
      <c r="L161" s="511">
        <f t="shared" si="43"/>
        <v>0</v>
      </c>
      <c r="M161" s="511">
        <f t="shared" si="44"/>
        <v>0</v>
      </c>
      <c r="N161" s="511">
        <f t="shared" si="45"/>
        <v>0</v>
      </c>
      <c r="O161" s="1443">
        <f t="shared" si="45"/>
        <v>0</v>
      </c>
      <c r="P161" s="187"/>
      <c r="Q161" s="77"/>
      <c r="R161" s="109"/>
      <c r="S161" s="109"/>
    </row>
    <row r="162" spans="2:19" x14ac:dyDescent="0.2">
      <c r="B162" s="75"/>
      <c r="C162" s="187"/>
      <c r="D162" s="508"/>
      <c r="E162" s="187"/>
      <c r="F162" s="531"/>
      <c r="G162" s="187"/>
      <c r="H162" s="623"/>
      <c r="I162" s="623"/>
      <c r="J162" s="1569"/>
      <c r="K162" s="511">
        <f t="shared" si="42"/>
        <v>0</v>
      </c>
      <c r="L162" s="511">
        <f t="shared" si="43"/>
        <v>0</v>
      </c>
      <c r="M162" s="511">
        <f t="shared" si="44"/>
        <v>0</v>
      </c>
      <c r="N162" s="511">
        <f t="shared" si="45"/>
        <v>0</v>
      </c>
      <c r="O162" s="1443">
        <f t="shared" si="45"/>
        <v>0</v>
      </c>
      <c r="P162" s="187"/>
      <c r="Q162" s="77"/>
      <c r="R162" s="109"/>
      <c r="S162" s="109"/>
    </row>
    <row r="163" spans="2:19" x14ac:dyDescent="0.2">
      <c r="B163" s="75"/>
      <c r="C163" s="187"/>
      <c r="D163" s="509"/>
      <c r="E163" s="187"/>
      <c r="F163" s="531"/>
      <c r="G163" s="187"/>
      <c r="H163" s="623"/>
      <c r="I163" s="623"/>
      <c r="J163" s="1569"/>
      <c r="K163" s="511">
        <f t="shared" si="42"/>
        <v>0</v>
      </c>
      <c r="L163" s="511">
        <f t="shared" si="43"/>
        <v>0</v>
      </c>
      <c r="M163" s="511">
        <f t="shared" si="44"/>
        <v>0</v>
      </c>
      <c r="N163" s="511">
        <f t="shared" si="45"/>
        <v>0</v>
      </c>
      <c r="O163" s="1443">
        <f t="shared" si="45"/>
        <v>0</v>
      </c>
      <c r="P163" s="187"/>
      <c r="Q163" s="77"/>
      <c r="R163" s="109"/>
      <c r="S163" s="109"/>
    </row>
    <row r="164" spans="2:19" x14ac:dyDescent="0.2">
      <c r="B164" s="75"/>
      <c r="C164" s="187"/>
      <c r="D164" s="509"/>
      <c r="E164" s="187"/>
      <c r="F164" s="531"/>
      <c r="G164" s="187"/>
      <c r="H164" s="623"/>
      <c r="I164" s="623"/>
      <c r="J164" s="1569"/>
      <c r="K164" s="511">
        <f t="shared" si="42"/>
        <v>0</v>
      </c>
      <c r="L164" s="511">
        <f t="shared" si="43"/>
        <v>0</v>
      </c>
      <c r="M164" s="511">
        <f t="shared" si="44"/>
        <v>0</v>
      </c>
      <c r="N164" s="511">
        <f t="shared" si="45"/>
        <v>0</v>
      </c>
      <c r="O164" s="1443">
        <f t="shared" si="45"/>
        <v>0</v>
      </c>
      <c r="P164" s="187"/>
      <c r="Q164" s="77"/>
      <c r="R164" s="109"/>
      <c r="S164" s="109"/>
    </row>
    <row r="165" spans="2:19" x14ac:dyDescent="0.2">
      <c r="B165" s="75"/>
      <c r="C165" s="187"/>
      <c r="D165" s="509"/>
      <c r="E165" s="187"/>
      <c r="F165" s="531"/>
      <c r="G165" s="187"/>
      <c r="H165" s="623"/>
      <c r="I165" s="623"/>
      <c r="J165" s="1569"/>
      <c r="K165" s="511">
        <f t="shared" si="42"/>
        <v>0</v>
      </c>
      <c r="L165" s="511">
        <f t="shared" si="43"/>
        <v>0</v>
      </c>
      <c r="M165" s="511">
        <f t="shared" si="44"/>
        <v>0</v>
      </c>
      <c r="N165" s="511">
        <f t="shared" si="45"/>
        <v>0</v>
      </c>
      <c r="O165" s="1443">
        <f t="shared" si="45"/>
        <v>0</v>
      </c>
      <c r="P165" s="187"/>
      <c r="Q165" s="77"/>
      <c r="R165" s="109"/>
      <c r="S165" s="109"/>
    </row>
    <row r="166" spans="2:19" x14ac:dyDescent="0.2">
      <c r="B166" s="75"/>
      <c r="C166" s="187"/>
      <c r="D166" s="509"/>
      <c r="E166" s="187"/>
      <c r="F166" s="531"/>
      <c r="G166" s="187"/>
      <c r="H166" s="623"/>
      <c r="I166" s="623"/>
      <c r="J166" s="1569"/>
      <c r="K166" s="511">
        <f t="shared" si="42"/>
        <v>0</v>
      </c>
      <c r="L166" s="511">
        <f t="shared" si="43"/>
        <v>0</v>
      </c>
      <c r="M166" s="511">
        <f t="shared" si="44"/>
        <v>0</v>
      </c>
      <c r="N166" s="511">
        <f t="shared" si="45"/>
        <v>0</v>
      </c>
      <c r="O166" s="1443">
        <f t="shared" si="45"/>
        <v>0</v>
      </c>
      <c r="P166" s="187"/>
      <c r="Q166" s="77"/>
      <c r="R166" s="109"/>
      <c r="S166" s="109"/>
    </row>
    <row r="167" spans="2:19" x14ac:dyDescent="0.2">
      <c r="B167" s="75"/>
      <c r="C167" s="187"/>
      <c r="D167" s="196"/>
      <c r="E167" s="187"/>
      <c r="F167" s="196"/>
      <c r="G167" s="187"/>
      <c r="H167" s="856"/>
      <c r="I167" s="856"/>
      <c r="J167" s="856"/>
      <c r="K167" s="519">
        <f t="shared" ref="K167:O167" si="46">SUM(K157:K166)</f>
        <v>379287.22000000003</v>
      </c>
      <c r="L167" s="519">
        <f t="shared" si="46"/>
        <v>372994.84</v>
      </c>
      <c r="M167" s="519">
        <f t="shared" si="46"/>
        <v>372994.84</v>
      </c>
      <c r="N167" s="519">
        <f t="shared" si="46"/>
        <v>372994.84</v>
      </c>
      <c r="O167" s="519">
        <f t="shared" si="46"/>
        <v>372994.84</v>
      </c>
      <c r="P167" s="187"/>
      <c r="Q167" s="77"/>
      <c r="R167" s="109"/>
      <c r="S167" s="109"/>
    </row>
    <row r="168" spans="2:19" x14ac:dyDescent="0.2">
      <c r="B168" s="75"/>
      <c r="C168" s="187"/>
      <c r="D168" s="1235"/>
      <c r="E168" s="1236"/>
      <c r="F168" s="1237"/>
      <c r="G168" s="1236"/>
      <c r="H168" s="1237"/>
      <c r="I168" s="1237"/>
      <c r="J168" s="1570"/>
      <c r="K168" s="1237"/>
      <c r="L168" s="1237"/>
      <c r="M168" s="1237"/>
      <c r="N168" s="1237"/>
      <c r="O168" s="1237"/>
      <c r="P168" s="187"/>
      <c r="Q168" s="77"/>
      <c r="R168" s="109"/>
      <c r="S168" s="109"/>
    </row>
    <row r="169" spans="2:19" x14ac:dyDescent="0.2">
      <c r="B169" s="75"/>
      <c r="C169" s="187"/>
      <c r="D169" s="1280" t="s">
        <v>475</v>
      </c>
      <c r="E169" s="1281"/>
      <c r="F169" s="1282"/>
      <c r="G169" s="1281"/>
      <c r="H169" s="1282"/>
      <c r="I169" s="1282"/>
      <c r="J169" s="1587"/>
      <c r="K169" s="1282"/>
      <c r="L169" s="1282"/>
      <c r="M169" s="1282"/>
      <c r="N169" s="1282"/>
      <c r="O169" s="1282"/>
      <c r="P169" s="187"/>
      <c r="Q169" s="77"/>
      <c r="R169" s="109"/>
      <c r="S169" s="109"/>
    </row>
    <row r="170" spans="2:19" x14ac:dyDescent="0.2">
      <c r="B170" s="75"/>
      <c r="C170" s="187"/>
      <c r="D170" s="186" t="s">
        <v>458</v>
      </c>
      <c r="E170" s="34"/>
      <c r="F170" s="182"/>
      <c r="G170" s="34"/>
      <c r="H170" s="842"/>
      <c r="I170" s="842"/>
      <c r="J170" s="842"/>
      <c r="K170" s="182"/>
      <c r="L170" s="182"/>
      <c r="M170" s="182"/>
      <c r="N170" s="182"/>
      <c r="O170" s="182"/>
      <c r="P170" s="187"/>
      <c r="Q170" s="77"/>
      <c r="R170" s="109"/>
      <c r="S170" s="109"/>
    </row>
    <row r="171" spans="2:19" x14ac:dyDescent="0.2">
      <c r="B171" s="75"/>
      <c r="C171" s="187"/>
      <c r="D171" s="34" t="str">
        <f>+pers!D162</f>
        <v>programma 1 Arrangementen</v>
      </c>
      <c r="E171" s="34"/>
      <c r="F171" s="42"/>
      <c r="G171" s="34"/>
      <c r="H171" s="881"/>
      <c r="I171" s="881"/>
      <c r="J171" s="1564"/>
      <c r="K171" s="807">
        <f>'programma''s'!I27</f>
        <v>1234</v>
      </c>
      <c r="L171" s="807">
        <f>'programma''s'!J27</f>
        <v>1234</v>
      </c>
      <c r="M171" s="807">
        <f>'programma''s'!K27</f>
        <v>1234</v>
      </c>
      <c r="N171" s="807">
        <f>'programma''s'!L27</f>
        <v>1234</v>
      </c>
      <c r="O171" s="1446">
        <f>'programma''s'!M27</f>
        <v>1234</v>
      </c>
      <c r="P171" s="187"/>
      <c r="Q171" s="77"/>
      <c r="R171" s="109"/>
      <c r="S171" s="109"/>
    </row>
    <row r="172" spans="2:19" x14ac:dyDescent="0.2">
      <c r="B172" s="75"/>
      <c r="C172" s="187"/>
      <c r="D172" s="34" t="str">
        <f>+pers!D163</f>
        <v>programma 2</v>
      </c>
      <c r="E172" s="34"/>
      <c r="F172" s="42"/>
      <c r="G172" s="34"/>
      <c r="H172" s="881"/>
      <c r="I172" s="881"/>
      <c r="J172" s="1564"/>
      <c r="K172" s="807">
        <f>'programma''s'!I47</f>
        <v>0</v>
      </c>
      <c r="L172" s="807">
        <f>'programma''s'!J47</f>
        <v>0</v>
      </c>
      <c r="M172" s="807">
        <f>'programma''s'!K47</f>
        <v>0</v>
      </c>
      <c r="N172" s="807">
        <f>'programma''s'!L47</f>
        <v>0</v>
      </c>
      <c r="O172" s="1446">
        <f>'programma''s'!M47</f>
        <v>0</v>
      </c>
      <c r="P172" s="187"/>
      <c r="Q172" s="77"/>
      <c r="R172" s="109"/>
      <c r="S172" s="109"/>
    </row>
    <row r="173" spans="2:19" x14ac:dyDescent="0.2">
      <c r="B173" s="75"/>
      <c r="C173" s="187"/>
      <c r="D173" s="34" t="str">
        <f>+pers!D164</f>
        <v>programma 3</v>
      </c>
      <c r="E173" s="34"/>
      <c r="F173" s="42"/>
      <c r="G173" s="34"/>
      <c r="H173" s="881"/>
      <c r="I173" s="881"/>
      <c r="J173" s="1564"/>
      <c r="K173" s="807">
        <f>'programma''s'!I67</f>
        <v>0</v>
      </c>
      <c r="L173" s="807">
        <f>'programma''s'!J67</f>
        <v>0</v>
      </c>
      <c r="M173" s="807">
        <f>'programma''s'!K67</f>
        <v>0</v>
      </c>
      <c r="N173" s="807">
        <f>'programma''s'!L67</f>
        <v>0</v>
      </c>
      <c r="O173" s="1446">
        <f>'programma''s'!M67</f>
        <v>0</v>
      </c>
      <c r="P173" s="187"/>
      <c r="Q173" s="77"/>
      <c r="R173" s="109"/>
      <c r="S173" s="109"/>
    </row>
    <row r="174" spans="2:19" x14ac:dyDescent="0.2">
      <c r="B174" s="75"/>
      <c r="C174" s="187"/>
      <c r="D174" s="34" t="str">
        <f>+pers!D165</f>
        <v>programma 4</v>
      </c>
      <c r="E174" s="34"/>
      <c r="F174" s="42"/>
      <c r="G174" s="34"/>
      <c r="H174" s="881"/>
      <c r="I174" s="881"/>
      <c r="J174" s="1564"/>
      <c r="K174" s="807">
        <f>'programma''s'!I87</f>
        <v>0</v>
      </c>
      <c r="L174" s="807">
        <f>'programma''s'!J87</f>
        <v>0</v>
      </c>
      <c r="M174" s="807">
        <f>'programma''s'!K87</f>
        <v>0</v>
      </c>
      <c r="N174" s="807">
        <f>'programma''s'!L87</f>
        <v>0</v>
      </c>
      <c r="O174" s="1446">
        <f>'programma''s'!M87</f>
        <v>0</v>
      </c>
      <c r="P174" s="187"/>
      <c r="Q174" s="77"/>
      <c r="R174" s="109"/>
      <c r="S174" s="109"/>
    </row>
    <row r="175" spans="2:19" x14ac:dyDescent="0.2">
      <c r="B175" s="75"/>
      <c r="C175" s="187"/>
      <c r="D175" s="34" t="str">
        <f>+pers!D166</f>
        <v>programma 5</v>
      </c>
      <c r="E175" s="34"/>
      <c r="F175" s="42"/>
      <c r="G175" s="34"/>
      <c r="H175" s="881"/>
      <c r="I175" s="881"/>
      <c r="J175" s="1564"/>
      <c r="K175" s="807">
        <f>'programma''s'!I107</f>
        <v>0</v>
      </c>
      <c r="L175" s="807">
        <f>'programma''s'!J107</f>
        <v>0</v>
      </c>
      <c r="M175" s="807">
        <f>'programma''s'!K107</f>
        <v>0</v>
      </c>
      <c r="N175" s="807">
        <f>'programma''s'!L107</f>
        <v>0</v>
      </c>
      <c r="O175" s="1446">
        <f>'programma''s'!M107</f>
        <v>0</v>
      </c>
      <c r="P175" s="187"/>
      <c r="Q175" s="77"/>
      <c r="R175" s="109"/>
      <c r="S175" s="109"/>
    </row>
    <row r="176" spans="2:19" x14ac:dyDescent="0.2">
      <c r="B176" s="75"/>
      <c r="C176" s="187"/>
      <c r="D176" s="34" t="str">
        <f>+pers!D167</f>
        <v>programma 6</v>
      </c>
      <c r="E176" s="34"/>
      <c r="F176" s="42"/>
      <c r="G176" s="34"/>
      <c r="H176" s="881"/>
      <c r="I176" s="881"/>
      <c r="J176" s="1564"/>
      <c r="K176" s="807">
        <f>'programma''s'!I130</f>
        <v>0</v>
      </c>
      <c r="L176" s="807">
        <f>'programma''s'!J130</f>
        <v>0</v>
      </c>
      <c r="M176" s="807">
        <f>'programma''s'!K130</f>
        <v>0</v>
      </c>
      <c r="N176" s="807">
        <f>'programma''s'!L130</f>
        <v>0</v>
      </c>
      <c r="O176" s="1446">
        <f>'programma''s'!M130</f>
        <v>0</v>
      </c>
      <c r="P176" s="187"/>
      <c r="Q176" s="77"/>
      <c r="R176" s="109"/>
      <c r="S176" s="109"/>
    </row>
    <row r="177" spans="2:19" x14ac:dyDescent="0.2">
      <c r="B177" s="75"/>
      <c r="C177" s="187"/>
      <c r="D177" s="34" t="str">
        <f>+pers!D168</f>
        <v>programma 7</v>
      </c>
      <c r="E177" s="34"/>
      <c r="F177" s="42"/>
      <c r="G177" s="34"/>
      <c r="H177" s="881"/>
      <c r="I177" s="881"/>
      <c r="J177" s="1564"/>
      <c r="K177" s="807">
        <f>'programma''s'!I150</f>
        <v>0</v>
      </c>
      <c r="L177" s="807">
        <f>'programma''s'!J150</f>
        <v>0</v>
      </c>
      <c r="M177" s="807">
        <f>'programma''s'!K150</f>
        <v>0</v>
      </c>
      <c r="N177" s="807">
        <f>'programma''s'!L150</f>
        <v>0</v>
      </c>
      <c r="O177" s="1446">
        <f>'programma''s'!M150</f>
        <v>0</v>
      </c>
      <c r="P177" s="187"/>
      <c r="Q177" s="77"/>
      <c r="R177" s="109"/>
      <c r="S177" s="109"/>
    </row>
    <row r="178" spans="2:19" x14ac:dyDescent="0.2">
      <c r="B178" s="75"/>
      <c r="C178" s="187"/>
      <c r="D178" s="34" t="str">
        <f>+pers!D169</f>
        <v>programma 8</v>
      </c>
      <c r="E178" s="34"/>
      <c r="F178" s="42"/>
      <c r="G178" s="34"/>
      <c r="H178" s="881"/>
      <c r="I178" s="881"/>
      <c r="J178" s="1564"/>
      <c r="K178" s="807">
        <f>'programma''s'!I170</f>
        <v>0</v>
      </c>
      <c r="L178" s="807">
        <f>'programma''s'!J170</f>
        <v>0</v>
      </c>
      <c r="M178" s="807">
        <f>'programma''s'!K170</f>
        <v>0</v>
      </c>
      <c r="N178" s="807">
        <f>'programma''s'!L170</f>
        <v>0</v>
      </c>
      <c r="O178" s="1446">
        <f>'programma''s'!M170</f>
        <v>0</v>
      </c>
      <c r="P178" s="187"/>
      <c r="Q178" s="77"/>
      <c r="R178" s="109"/>
      <c r="S178" s="109"/>
    </row>
    <row r="179" spans="2:19" x14ac:dyDescent="0.2">
      <c r="B179" s="75"/>
      <c r="C179" s="187"/>
      <c r="D179" s="34" t="str">
        <f>+pers!D170</f>
        <v>programma 9</v>
      </c>
      <c r="E179" s="34"/>
      <c r="F179" s="42"/>
      <c r="G179" s="34"/>
      <c r="H179" s="881"/>
      <c r="I179" s="881"/>
      <c r="J179" s="1564"/>
      <c r="K179" s="807">
        <f>'programma''s'!I190</f>
        <v>0</v>
      </c>
      <c r="L179" s="807">
        <f>'programma''s'!J190</f>
        <v>0</v>
      </c>
      <c r="M179" s="807">
        <f>'programma''s'!K190</f>
        <v>0</v>
      </c>
      <c r="N179" s="807">
        <f>'programma''s'!L190</f>
        <v>0</v>
      </c>
      <c r="O179" s="1446">
        <f>'programma''s'!M190</f>
        <v>0</v>
      </c>
      <c r="P179" s="187"/>
      <c r="Q179" s="77"/>
      <c r="R179" s="109"/>
      <c r="S179" s="109"/>
    </row>
    <row r="180" spans="2:19" x14ac:dyDescent="0.2">
      <c r="B180" s="75"/>
      <c r="C180" s="187"/>
      <c r="D180" s="34" t="str">
        <f>+pers!D171</f>
        <v>programma 10</v>
      </c>
      <c r="E180" s="34"/>
      <c r="F180" s="42"/>
      <c r="G180" s="34"/>
      <c r="H180" s="881"/>
      <c r="I180" s="881"/>
      <c r="J180" s="1564"/>
      <c r="K180" s="807">
        <f>'programma''s'!I210</f>
        <v>0</v>
      </c>
      <c r="L180" s="807">
        <f>'programma''s'!J210</f>
        <v>0</v>
      </c>
      <c r="M180" s="807">
        <f>'programma''s'!K210</f>
        <v>0</v>
      </c>
      <c r="N180" s="807">
        <f>'programma''s'!L210</f>
        <v>0</v>
      </c>
      <c r="O180" s="1446">
        <f>'programma''s'!M210</f>
        <v>0</v>
      </c>
      <c r="P180" s="187"/>
      <c r="Q180" s="77"/>
      <c r="R180" s="109"/>
      <c r="S180" s="109"/>
    </row>
    <row r="181" spans="2:19" x14ac:dyDescent="0.2">
      <c r="B181" s="75"/>
      <c r="C181" s="187"/>
      <c r="D181" s="34"/>
      <c r="E181" s="34"/>
      <c r="F181" s="182"/>
      <c r="G181" s="34"/>
      <c r="H181" s="854"/>
      <c r="I181" s="854"/>
      <c r="J181" s="854"/>
      <c r="K181" s="520">
        <f t="shared" ref="K181:O181" si="47">SUM(K171:K180)</f>
        <v>1234</v>
      </c>
      <c r="L181" s="520">
        <f t="shared" si="47"/>
        <v>1234</v>
      </c>
      <c r="M181" s="520">
        <f t="shared" si="47"/>
        <v>1234</v>
      </c>
      <c r="N181" s="520">
        <f t="shared" si="47"/>
        <v>1234</v>
      </c>
      <c r="O181" s="520">
        <f t="shared" si="47"/>
        <v>1234</v>
      </c>
      <c r="P181" s="187"/>
      <c r="Q181" s="77"/>
      <c r="R181" s="109"/>
      <c r="S181" s="109"/>
    </row>
    <row r="182" spans="2:19" x14ac:dyDescent="0.2">
      <c r="B182" s="75"/>
      <c r="C182" s="187"/>
      <c r="D182" s="513"/>
      <c r="E182" s="514"/>
      <c r="F182" s="515"/>
      <c r="G182" s="514"/>
      <c r="H182" s="515"/>
      <c r="I182" s="515"/>
      <c r="J182" s="1582"/>
      <c r="K182" s="515"/>
      <c r="L182" s="515"/>
      <c r="M182" s="515"/>
      <c r="N182" s="515"/>
      <c r="O182" s="515"/>
      <c r="P182" s="187"/>
      <c r="Q182" s="77"/>
      <c r="R182" s="109"/>
      <c r="S182" s="109"/>
    </row>
    <row r="183" spans="2:19" x14ac:dyDescent="0.2">
      <c r="B183" s="75"/>
      <c r="C183" s="187"/>
      <c r="D183" s="512"/>
      <c r="E183" s="485"/>
      <c r="F183" s="78"/>
      <c r="G183" s="485"/>
      <c r="H183" s="78"/>
      <c r="I183" s="78"/>
      <c r="J183" s="857"/>
      <c r="K183" s="78"/>
      <c r="L183" s="78"/>
      <c r="M183" s="78"/>
      <c r="N183" s="78"/>
      <c r="O183" s="78"/>
      <c r="P183" s="187"/>
      <c r="Q183" s="77"/>
      <c r="R183" s="109"/>
      <c r="S183" s="109"/>
    </row>
    <row r="184" spans="2:19" x14ac:dyDescent="0.2">
      <c r="B184" s="75"/>
      <c r="C184" s="187"/>
      <c r="D184" s="195" t="s">
        <v>132</v>
      </c>
      <c r="E184" s="187"/>
      <c r="F184" s="70"/>
      <c r="G184" s="187"/>
      <c r="H184" s="856"/>
      <c r="I184" s="856"/>
      <c r="J184" s="856"/>
      <c r="K184" s="519">
        <f t="shared" ref="K184:O184" si="48">K151+K167+K181</f>
        <v>462191.72000000003</v>
      </c>
      <c r="L184" s="519">
        <f t="shared" si="48"/>
        <v>459090.44</v>
      </c>
      <c r="M184" s="519">
        <f t="shared" si="48"/>
        <v>461051.24000000005</v>
      </c>
      <c r="N184" s="519">
        <f t="shared" si="48"/>
        <v>461051.24000000005</v>
      </c>
      <c r="O184" s="519">
        <f t="shared" si="48"/>
        <v>456988.28</v>
      </c>
      <c r="P184" s="187"/>
      <c r="Q184" s="77"/>
      <c r="R184" s="109"/>
      <c r="S184" s="109"/>
    </row>
    <row r="185" spans="2:19" x14ac:dyDescent="0.2">
      <c r="B185" s="75"/>
      <c r="C185" s="187"/>
      <c r="D185" s="187"/>
      <c r="E185" s="187"/>
      <c r="F185" s="70"/>
      <c r="G185" s="187"/>
      <c r="H185" s="618"/>
      <c r="I185" s="618"/>
      <c r="J185" s="622"/>
      <c r="K185" s="70"/>
      <c r="L185" s="70"/>
      <c r="M185" s="70"/>
      <c r="N185" s="70"/>
      <c r="O185" s="70"/>
      <c r="P185" s="187"/>
      <c r="Q185" s="77"/>
      <c r="R185" s="109"/>
      <c r="S185" s="109"/>
    </row>
    <row r="186" spans="2:19" x14ac:dyDescent="0.2">
      <c r="B186" s="75"/>
      <c r="C186" s="76"/>
      <c r="D186" s="76"/>
      <c r="E186" s="76"/>
      <c r="F186" s="69"/>
      <c r="G186" s="76"/>
      <c r="H186" s="76"/>
      <c r="I186" s="76"/>
      <c r="J186" s="69"/>
      <c r="K186" s="69"/>
      <c r="L186" s="69"/>
      <c r="M186" s="69"/>
      <c r="N186" s="69"/>
      <c r="O186" s="69"/>
      <c r="P186" s="76"/>
      <c r="Q186" s="77"/>
      <c r="R186" s="109"/>
      <c r="S186" s="109"/>
    </row>
    <row r="187" spans="2:19" x14ac:dyDescent="0.2">
      <c r="B187" s="75"/>
      <c r="C187" s="187"/>
      <c r="D187" s="187"/>
      <c r="E187" s="187"/>
      <c r="F187" s="70"/>
      <c r="G187" s="187"/>
      <c r="H187" s="187"/>
      <c r="I187" s="187"/>
      <c r="J187" s="622"/>
      <c r="K187" s="70"/>
      <c r="L187" s="70"/>
      <c r="M187" s="70"/>
      <c r="N187" s="70"/>
      <c r="O187" s="70"/>
      <c r="P187" s="187"/>
      <c r="Q187" s="77"/>
      <c r="R187" s="109"/>
      <c r="S187" s="109"/>
    </row>
    <row r="188" spans="2:19" x14ac:dyDescent="0.2">
      <c r="B188" s="75"/>
      <c r="C188" s="187"/>
      <c r="D188" s="195" t="s">
        <v>177</v>
      </c>
      <c r="E188" s="187"/>
      <c r="F188" s="70"/>
      <c r="G188" s="187"/>
      <c r="H188" s="856"/>
      <c r="I188" s="856"/>
      <c r="J188" s="856"/>
      <c r="K188" s="519">
        <f t="shared" ref="K188:O188" si="49">K112+K132+K184</f>
        <v>476066.72000000003</v>
      </c>
      <c r="L188" s="519">
        <f t="shared" si="49"/>
        <v>472965.44</v>
      </c>
      <c r="M188" s="519">
        <f t="shared" si="49"/>
        <v>474926.24000000005</v>
      </c>
      <c r="N188" s="519">
        <f t="shared" si="49"/>
        <v>474926.24000000005</v>
      </c>
      <c r="O188" s="519">
        <f t="shared" si="49"/>
        <v>470863.28</v>
      </c>
      <c r="P188" s="187"/>
      <c r="Q188" s="77"/>
      <c r="R188" s="109"/>
      <c r="S188" s="109"/>
    </row>
    <row r="189" spans="2:19" x14ac:dyDescent="0.2">
      <c r="B189" s="75"/>
      <c r="C189" s="187"/>
      <c r="D189" s="187"/>
      <c r="E189" s="187"/>
      <c r="F189" s="70"/>
      <c r="G189" s="187"/>
      <c r="H189" s="70"/>
      <c r="I189" s="70"/>
      <c r="J189" s="622"/>
      <c r="K189" s="70"/>
      <c r="L189" s="70"/>
      <c r="M189" s="70"/>
      <c r="N189" s="70"/>
      <c r="O189" s="70"/>
      <c r="P189" s="187"/>
      <c r="Q189" s="77"/>
      <c r="R189" s="109"/>
      <c r="S189" s="109"/>
    </row>
    <row r="190" spans="2:19" x14ac:dyDescent="0.2">
      <c r="B190" s="75"/>
      <c r="C190" s="76"/>
      <c r="D190" s="76"/>
      <c r="E190" s="76"/>
      <c r="F190" s="69"/>
      <c r="G190" s="76"/>
      <c r="H190" s="76"/>
      <c r="I190" s="76"/>
      <c r="J190" s="69"/>
      <c r="K190" s="69"/>
      <c r="L190" s="69"/>
      <c r="M190" s="69"/>
      <c r="N190" s="69"/>
      <c r="O190" s="69"/>
      <c r="P190" s="76"/>
      <c r="Q190" s="77"/>
      <c r="R190" s="109"/>
      <c r="S190" s="109"/>
    </row>
    <row r="191" spans="2:19" x14ac:dyDescent="0.2">
      <c r="B191" s="75"/>
      <c r="C191" s="76"/>
      <c r="D191" s="76"/>
      <c r="E191" s="76"/>
      <c r="F191" s="69"/>
      <c r="G191" s="76"/>
      <c r="H191" s="76"/>
      <c r="I191" s="76"/>
      <c r="J191" s="69"/>
      <c r="K191" s="69"/>
      <c r="L191" s="69"/>
      <c r="M191" s="69"/>
      <c r="N191" s="69"/>
      <c r="O191" s="69"/>
      <c r="P191" s="76"/>
      <c r="Q191" s="77"/>
      <c r="R191" s="109"/>
      <c r="S191" s="109"/>
    </row>
    <row r="192" spans="2:19" x14ac:dyDescent="0.2">
      <c r="B192" s="75"/>
      <c r="C192" s="187"/>
      <c r="D192" s="187"/>
      <c r="E192" s="187"/>
      <c r="F192" s="70"/>
      <c r="G192" s="187"/>
      <c r="H192" s="70"/>
      <c r="I192" s="70"/>
      <c r="J192" s="70"/>
      <c r="K192" s="70"/>
      <c r="L192" s="70"/>
      <c r="M192" s="70"/>
      <c r="N192" s="70"/>
      <c r="O192" s="70"/>
      <c r="P192" s="187"/>
      <c r="Q192" s="77"/>
      <c r="R192" s="109"/>
      <c r="S192" s="109"/>
    </row>
    <row r="193" spans="2:20" x14ac:dyDescent="0.2">
      <c r="B193" s="75"/>
      <c r="C193" s="187"/>
      <c r="D193" s="567" t="s">
        <v>178</v>
      </c>
      <c r="E193" s="187"/>
      <c r="F193" s="70"/>
      <c r="G193" s="187"/>
      <c r="H193" s="856"/>
      <c r="I193" s="856"/>
      <c r="J193" s="856"/>
      <c r="K193" s="519">
        <f t="shared" ref="K193:O193" si="50">K96-K188</f>
        <v>526065.20093030925</v>
      </c>
      <c r="L193" s="519">
        <f t="shared" si="50"/>
        <v>512888.73839813011</v>
      </c>
      <c r="M193" s="519">
        <f t="shared" si="50"/>
        <v>510927.93839813006</v>
      </c>
      <c r="N193" s="519">
        <f t="shared" si="50"/>
        <v>510927.93839813006</v>
      </c>
      <c r="O193" s="519">
        <f t="shared" si="50"/>
        <v>514990.89839813008</v>
      </c>
      <c r="P193" s="187"/>
      <c r="Q193" s="77"/>
      <c r="R193" s="109"/>
      <c r="S193" s="109"/>
    </row>
    <row r="194" spans="2:20" x14ac:dyDescent="0.2">
      <c r="B194" s="75"/>
      <c r="C194" s="187"/>
      <c r="D194" s="187"/>
      <c r="E194" s="187"/>
      <c r="F194" s="70"/>
      <c r="G194" s="187"/>
      <c r="H194" s="618"/>
      <c r="I194" s="618"/>
      <c r="J194" s="622"/>
      <c r="K194" s="70"/>
      <c r="L194" s="70"/>
      <c r="M194" s="70"/>
      <c r="N194" s="70"/>
      <c r="O194" s="70"/>
      <c r="P194" s="187"/>
      <c r="Q194" s="77"/>
      <c r="R194" s="109"/>
      <c r="S194" s="109"/>
    </row>
    <row r="195" spans="2:20" x14ac:dyDescent="0.2">
      <c r="B195" s="75"/>
      <c r="C195" s="76"/>
      <c r="D195" s="76"/>
      <c r="E195" s="76"/>
      <c r="F195" s="69"/>
      <c r="G195" s="76"/>
      <c r="H195" s="76"/>
      <c r="I195" s="76"/>
      <c r="J195" s="69"/>
      <c r="K195" s="69"/>
      <c r="L195" s="69"/>
      <c r="M195" s="69"/>
      <c r="N195" s="69"/>
      <c r="O195" s="69"/>
      <c r="P195" s="76"/>
      <c r="Q195" s="77"/>
      <c r="R195" s="109"/>
      <c r="S195" s="109"/>
    </row>
    <row r="196" spans="2:20" x14ac:dyDescent="0.2">
      <c r="B196" s="85"/>
      <c r="C196" s="82"/>
      <c r="D196" s="82"/>
      <c r="E196" s="82"/>
      <c r="F196" s="83"/>
      <c r="G196" s="82"/>
      <c r="H196" s="82"/>
      <c r="I196" s="82"/>
      <c r="J196" s="399"/>
      <c r="K196" s="399"/>
      <c r="L196" s="399"/>
      <c r="M196" s="399"/>
      <c r="N196" s="399"/>
      <c r="O196" s="399"/>
      <c r="P196" s="613" t="s">
        <v>378</v>
      </c>
      <c r="Q196" s="84"/>
      <c r="R196" s="109"/>
      <c r="S196" s="109"/>
    </row>
    <row r="197" spans="2:20" ht="12.75" customHeight="1" thickBot="1" x14ac:dyDescent="0.25">
      <c r="B197" s="109"/>
      <c r="C197" s="109"/>
      <c r="D197" s="109"/>
      <c r="E197" s="109"/>
      <c r="F197" s="109"/>
      <c r="G197" s="109"/>
      <c r="H197" s="109"/>
      <c r="I197" s="109"/>
      <c r="J197" s="109"/>
      <c r="K197" s="109"/>
      <c r="L197" s="109"/>
      <c r="M197" s="109"/>
      <c r="N197" s="109"/>
      <c r="O197" s="109"/>
      <c r="P197" s="109"/>
      <c r="Q197" s="109"/>
      <c r="R197" s="109"/>
      <c r="S197" s="109"/>
      <c r="T197" s="109"/>
    </row>
    <row r="198" spans="2:20" ht="12.75" customHeight="1" thickTop="1" x14ac:dyDescent="0.2">
      <c r="B198" s="109"/>
      <c r="C198" s="891"/>
      <c r="D198" s="892"/>
      <c r="E198" s="892"/>
      <c r="F198" s="892"/>
      <c r="G198" s="892"/>
      <c r="H198" s="892"/>
      <c r="I198" s="892"/>
      <c r="J198" s="892"/>
      <c r="K198" s="892"/>
      <c r="L198" s="892"/>
      <c r="M198" s="892"/>
      <c r="N198" s="892"/>
      <c r="O198" s="892"/>
      <c r="P198" s="904"/>
      <c r="Q198" s="109"/>
      <c r="R198" s="109"/>
      <c r="S198" s="109"/>
      <c r="T198" s="109"/>
    </row>
    <row r="199" spans="2:20" ht="12.75" customHeight="1" x14ac:dyDescent="0.2">
      <c r="B199" s="109"/>
      <c r="C199" s="893"/>
      <c r="D199" s="601"/>
      <c r="E199" s="601"/>
      <c r="F199" s="601"/>
      <c r="G199" s="601"/>
      <c r="H199" s="601"/>
      <c r="I199" s="601"/>
      <c r="J199" s="601"/>
      <c r="K199" s="601"/>
      <c r="L199" s="601"/>
      <c r="M199" s="601"/>
      <c r="N199" s="601"/>
      <c r="O199" s="601"/>
      <c r="P199" s="905"/>
      <c r="Q199" s="109"/>
      <c r="R199" s="109"/>
      <c r="S199" s="109"/>
      <c r="T199" s="109"/>
    </row>
    <row r="200" spans="2:20" ht="12.75" customHeight="1" x14ac:dyDescent="0.3">
      <c r="B200" s="10"/>
      <c r="C200" s="893"/>
      <c r="D200" s="888" t="s">
        <v>609</v>
      </c>
      <c r="E200" s="889"/>
      <c r="F200" s="890"/>
      <c r="G200" s="890"/>
      <c r="H200" s="1043"/>
      <c r="I200" s="1043"/>
      <c r="J200" s="1043"/>
      <c r="K200" s="1043">
        <f t="shared" ref="K200:O200" si="51">K8</f>
        <v>2020</v>
      </c>
      <c r="L200" s="1043">
        <f t="shared" si="51"/>
        <v>2021</v>
      </c>
      <c r="M200" s="1043">
        <f t="shared" si="51"/>
        <v>2022</v>
      </c>
      <c r="N200" s="1043">
        <f t="shared" si="51"/>
        <v>2023</v>
      </c>
      <c r="O200" s="1043">
        <f t="shared" si="51"/>
        <v>2024</v>
      </c>
      <c r="P200" s="905"/>
      <c r="Q200" s="109"/>
      <c r="R200" s="109"/>
      <c r="S200" s="109"/>
      <c r="T200" s="109"/>
    </row>
    <row r="201" spans="2:20" ht="12.75" customHeight="1" x14ac:dyDescent="0.3">
      <c r="B201" s="10"/>
      <c r="C201" s="893"/>
      <c r="D201" s="896" t="s">
        <v>229</v>
      </c>
      <c r="E201" s="897"/>
      <c r="F201" s="898"/>
      <c r="G201" s="899"/>
      <c r="H201" s="887"/>
      <c r="I201" s="887"/>
      <c r="J201" s="887"/>
      <c r="K201" s="887"/>
      <c r="L201" s="866"/>
      <c r="M201" s="866"/>
      <c r="N201" s="866"/>
      <c r="O201" s="866"/>
      <c r="P201" s="905"/>
      <c r="Q201" s="109"/>
      <c r="R201" s="109"/>
      <c r="S201" s="109"/>
      <c r="T201" s="109"/>
    </row>
    <row r="202" spans="2:20" ht="12.75" customHeight="1" x14ac:dyDescent="0.3">
      <c r="B202" s="10"/>
      <c r="C202" s="893"/>
      <c r="D202" s="1482" t="s">
        <v>869</v>
      </c>
      <c r="E202" s="897"/>
      <c r="F202" s="898"/>
      <c r="G202" s="899"/>
      <c r="H202" s="887"/>
      <c r="I202" s="887"/>
      <c r="J202" s="887"/>
      <c r="K202" s="887">
        <f t="shared" ref="K202:O202" si="52">+K46</f>
        <v>1002131.9209303092</v>
      </c>
      <c r="L202" s="887">
        <f t="shared" si="52"/>
        <v>985854.17839813011</v>
      </c>
      <c r="M202" s="887">
        <f t="shared" si="52"/>
        <v>985854.17839813011</v>
      </c>
      <c r="N202" s="887">
        <f t="shared" si="52"/>
        <v>985854.17839813011</v>
      </c>
      <c r="O202" s="887">
        <f t="shared" si="52"/>
        <v>985854.17839813011</v>
      </c>
      <c r="P202" s="905"/>
      <c r="Q202" s="109"/>
      <c r="R202" s="109"/>
      <c r="S202" s="109"/>
      <c r="T202" s="109"/>
    </row>
    <row r="203" spans="2:20" ht="12.75" customHeight="1" x14ac:dyDescent="0.3">
      <c r="B203" s="10"/>
      <c r="C203" s="893"/>
      <c r="D203" s="900" t="s">
        <v>168</v>
      </c>
      <c r="E203" s="897"/>
      <c r="F203" s="898"/>
      <c r="G203" s="899"/>
      <c r="H203" s="887"/>
      <c r="I203" s="887"/>
      <c r="J203" s="887"/>
      <c r="K203" s="887">
        <f t="shared" ref="K203:O203" si="53">+K66</f>
        <v>0</v>
      </c>
      <c r="L203" s="887">
        <f t="shared" si="53"/>
        <v>0</v>
      </c>
      <c r="M203" s="887">
        <f t="shared" si="53"/>
        <v>0</v>
      </c>
      <c r="N203" s="887">
        <f t="shared" si="53"/>
        <v>0</v>
      </c>
      <c r="O203" s="887">
        <f t="shared" si="53"/>
        <v>0</v>
      </c>
      <c r="P203" s="905"/>
      <c r="Q203" s="109"/>
      <c r="R203" s="109"/>
      <c r="S203" s="109"/>
      <c r="T203" s="109"/>
    </row>
    <row r="204" spans="2:20" ht="12.75" customHeight="1" x14ac:dyDescent="0.3">
      <c r="B204" s="10"/>
      <c r="C204" s="893"/>
      <c r="D204" s="900" t="s">
        <v>180</v>
      </c>
      <c r="E204" s="897"/>
      <c r="F204" s="898"/>
      <c r="G204" s="899"/>
      <c r="H204" s="1044"/>
      <c r="I204" s="1044"/>
      <c r="J204" s="1044"/>
      <c r="K204" s="1044">
        <f>K74+K84</f>
        <v>0</v>
      </c>
      <c r="L204" s="1044">
        <f>L74+L84</f>
        <v>0</v>
      </c>
      <c r="M204" s="1044">
        <f>M74+M84</f>
        <v>0</v>
      </c>
      <c r="N204" s="1044">
        <f>N74+N84</f>
        <v>0</v>
      </c>
      <c r="O204" s="1044">
        <f>N204</f>
        <v>0</v>
      </c>
      <c r="P204" s="905"/>
      <c r="Q204" s="109"/>
      <c r="R204" s="109"/>
      <c r="S204" s="109"/>
      <c r="T204" s="109"/>
    </row>
    <row r="205" spans="2:20" ht="12.75" customHeight="1" x14ac:dyDescent="0.3">
      <c r="B205" s="10"/>
      <c r="C205" s="893"/>
      <c r="D205" s="900" t="s">
        <v>181</v>
      </c>
      <c r="E205" s="897"/>
      <c r="F205" s="898"/>
      <c r="G205" s="899"/>
      <c r="H205" s="887"/>
      <c r="I205" s="887"/>
      <c r="J205" s="887"/>
      <c r="K205" s="887">
        <f t="shared" ref="K205:O205" si="54">+K73+K83</f>
        <v>0</v>
      </c>
      <c r="L205" s="887">
        <f t="shared" si="54"/>
        <v>0</v>
      </c>
      <c r="M205" s="887">
        <f t="shared" si="54"/>
        <v>0</v>
      </c>
      <c r="N205" s="887">
        <f t="shared" si="54"/>
        <v>0</v>
      </c>
      <c r="O205" s="887">
        <f t="shared" si="54"/>
        <v>0</v>
      </c>
      <c r="P205" s="905"/>
      <c r="Q205" s="109"/>
      <c r="R205" s="109"/>
      <c r="S205" s="109"/>
      <c r="T205" s="109"/>
    </row>
    <row r="206" spans="2:20" ht="12.75" customHeight="1" x14ac:dyDescent="0.3">
      <c r="B206" s="10"/>
      <c r="C206" s="893"/>
      <c r="D206" s="900" t="s">
        <v>94</v>
      </c>
      <c r="E206" s="897"/>
      <c r="F206" s="898"/>
      <c r="G206" s="899"/>
      <c r="H206" s="887"/>
      <c r="I206" s="887"/>
      <c r="J206" s="887"/>
      <c r="K206" s="887">
        <f>+K79+K89-K73-K74-K83-K84</f>
        <v>0</v>
      </c>
      <c r="L206" s="887">
        <f>+L79+L89-L73-L74-L83-L84</f>
        <v>0</v>
      </c>
      <c r="M206" s="887">
        <f>+M79+M89-M73-M74-M83-M84</f>
        <v>0</v>
      </c>
      <c r="N206" s="887">
        <f>+N79+N89-N73-N74-N83-N84</f>
        <v>0</v>
      </c>
      <c r="O206" s="887">
        <f>+O79+O89-O73-O83</f>
        <v>0</v>
      </c>
      <c r="P206" s="905"/>
      <c r="Q206" s="109"/>
      <c r="R206" s="109"/>
      <c r="S206" s="109"/>
      <c r="T206" s="109"/>
    </row>
    <row r="207" spans="2:20" ht="12.75" customHeight="1" x14ac:dyDescent="0.3">
      <c r="B207" s="10"/>
      <c r="C207" s="893"/>
      <c r="D207" s="900"/>
      <c r="E207" s="897"/>
      <c r="F207" s="901" t="s">
        <v>541</v>
      </c>
      <c r="G207" s="899"/>
      <c r="H207" s="887"/>
      <c r="I207" s="887"/>
      <c r="J207" s="887"/>
      <c r="K207" s="887">
        <f t="shared" ref="K207:O207" si="55">SUM(K202:K206)</f>
        <v>1002131.9209303092</v>
      </c>
      <c r="L207" s="887">
        <f t="shared" si="55"/>
        <v>985854.17839813011</v>
      </c>
      <c r="M207" s="887">
        <f t="shared" si="55"/>
        <v>985854.17839813011</v>
      </c>
      <c r="N207" s="887">
        <f t="shared" si="55"/>
        <v>985854.17839813011</v>
      </c>
      <c r="O207" s="887">
        <f t="shared" si="55"/>
        <v>985854.17839813011</v>
      </c>
      <c r="P207" s="905"/>
      <c r="Q207" s="109"/>
      <c r="R207" s="109"/>
      <c r="S207" s="109"/>
      <c r="T207" s="109"/>
    </row>
    <row r="208" spans="2:20" ht="12.75" customHeight="1" x14ac:dyDescent="0.3">
      <c r="B208" s="10"/>
      <c r="C208" s="893"/>
      <c r="D208" s="896" t="s">
        <v>182</v>
      </c>
      <c r="E208" s="897"/>
      <c r="F208" s="898"/>
      <c r="G208" s="899"/>
      <c r="H208" s="887"/>
      <c r="I208" s="887"/>
      <c r="J208" s="887"/>
      <c r="K208" s="887"/>
      <c r="L208" s="887"/>
      <c r="M208" s="887"/>
      <c r="N208" s="887"/>
      <c r="O208" s="887"/>
      <c r="P208" s="905"/>
      <c r="Q208" s="109"/>
      <c r="R208" s="109"/>
      <c r="S208" s="109"/>
      <c r="T208" s="109"/>
    </row>
    <row r="209" spans="2:20" ht="12.75" customHeight="1" x14ac:dyDescent="0.3">
      <c r="B209" s="10"/>
      <c r="C209" s="893"/>
      <c r="D209" s="896" t="s">
        <v>95</v>
      </c>
      <c r="E209" s="897"/>
      <c r="F209" s="898"/>
      <c r="G209" s="899"/>
      <c r="H209" s="887"/>
      <c r="I209" s="887"/>
      <c r="J209" s="887"/>
      <c r="K209" s="887">
        <f t="shared" ref="K209:O209" si="56">+K112</f>
        <v>13875</v>
      </c>
      <c r="L209" s="887">
        <f t="shared" si="56"/>
        <v>13875</v>
      </c>
      <c r="M209" s="887">
        <f t="shared" si="56"/>
        <v>13875</v>
      </c>
      <c r="N209" s="887">
        <f t="shared" si="56"/>
        <v>13875</v>
      </c>
      <c r="O209" s="887">
        <f t="shared" si="56"/>
        <v>13875</v>
      </c>
      <c r="P209" s="905"/>
      <c r="Q209" s="109"/>
      <c r="R209" s="109"/>
      <c r="S209" s="109"/>
      <c r="T209" s="109"/>
    </row>
    <row r="210" spans="2:20" ht="12.75" customHeight="1" x14ac:dyDescent="0.3">
      <c r="B210" s="10"/>
      <c r="C210" s="893"/>
      <c r="D210" s="896" t="s">
        <v>96</v>
      </c>
      <c r="E210" s="897"/>
      <c r="F210" s="898"/>
      <c r="G210" s="899"/>
      <c r="H210" s="887"/>
      <c r="I210" s="887"/>
      <c r="J210" s="887"/>
      <c r="K210" s="887">
        <f t="shared" ref="K210:O210" si="57">+K132</f>
        <v>0</v>
      </c>
      <c r="L210" s="887">
        <f t="shared" si="57"/>
        <v>0</v>
      </c>
      <c r="M210" s="887">
        <f t="shared" si="57"/>
        <v>0</v>
      </c>
      <c r="N210" s="887">
        <f t="shared" si="57"/>
        <v>0</v>
      </c>
      <c r="O210" s="887">
        <f t="shared" si="57"/>
        <v>0</v>
      </c>
      <c r="P210" s="905"/>
      <c r="Q210" s="109"/>
      <c r="R210" s="109"/>
      <c r="S210" s="109"/>
      <c r="T210" s="109"/>
    </row>
    <row r="211" spans="2:20" ht="12.75" customHeight="1" x14ac:dyDescent="0.3">
      <c r="B211" s="10"/>
      <c r="C211" s="893"/>
      <c r="D211" s="902" t="s">
        <v>867</v>
      </c>
      <c r="E211" s="897"/>
      <c r="F211" s="898"/>
      <c r="G211" s="899"/>
      <c r="H211" s="887"/>
      <c r="I211" s="887"/>
      <c r="J211" s="887"/>
      <c r="K211" s="887">
        <f t="shared" ref="K211:O211" si="58">+K184</f>
        <v>462191.72000000003</v>
      </c>
      <c r="L211" s="887">
        <f t="shared" si="58"/>
        <v>459090.44</v>
      </c>
      <c r="M211" s="887">
        <f t="shared" si="58"/>
        <v>461051.24000000005</v>
      </c>
      <c r="N211" s="887">
        <f t="shared" si="58"/>
        <v>461051.24000000005</v>
      </c>
      <c r="O211" s="887">
        <f t="shared" si="58"/>
        <v>456988.28</v>
      </c>
      <c r="P211" s="905"/>
      <c r="Q211" s="109"/>
      <c r="R211" s="109"/>
      <c r="S211" s="109"/>
      <c r="T211" s="109"/>
    </row>
    <row r="212" spans="2:20" ht="12.75" customHeight="1" x14ac:dyDescent="0.3">
      <c r="B212" s="10"/>
      <c r="C212" s="893"/>
      <c r="D212" s="900"/>
      <c r="E212" s="897"/>
      <c r="F212" s="901" t="s">
        <v>542</v>
      </c>
      <c r="G212" s="899"/>
      <c r="H212" s="887"/>
      <c r="I212" s="887"/>
      <c r="J212" s="887"/>
      <c r="K212" s="887">
        <f t="shared" ref="K212:O212" si="59">SUM(K209:K211)</f>
        <v>476066.72000000003</v>
      </c>
      <c r="L212" s="887">
        <f t="shared" si="59"/>
        <v>472965.44</v>
      </c>
      <c r="M212" s="887">
        <f t="shared" si="59"/>
        <v>474926.24000000005</v>
      </c>
      <c r="N212" s="887">
        <f t="shared" si="59"/>
        <v>474926.24000000005</v>
      </c>
      <c r="O212" s="887">
        <f t="shared" si="59"/>
        <v>470863.28</v>
      </c>
      <c r="P212" s="905"/>
      <c r="Q212" s="109"/>
      <c r="R212" s="109"/>
      <c r="S212" s="109"/>
      <c r="T212" s="109"/>
    </row>
    <row r="213" spans="2:20" ht="12.75" customHeight="1" x14ac:dyDescent="0.3">
      <c r="B213" s="10"/>
      <c r="C213" s="893"/>
      <c r="D213" s="903"/>
      <c r="E213" s="897"/>
      <c r="F213" s="898"/>
      <c r="G213" s="899"/>
      <c r="H213" s="887"/>
      <c r="I213" s="887"/>
      <c r="J213" s="887"/>
      <c r="K213" s="887"/>
      <c r="L213" s="887"/>
      <c r="M213" s="887"/>
      <c r="N213" s="887"/>
      <c r="O213" s="887"/>
      <c r="P213" s="905"/>
      <c r="Q213" s="109"/>
      <c r="R213" s="109"/>
      <c r="S213" s="109"/>
      <c r="T213" s="109"/>
    </row>
    <row r="214" spans="2:20" ht="12.75" customHeight="1" x14ac:dyDescent="0.3">
      <c r="B214" s="10"/>
      <c r="C214" s="893"/>
      <c r="D214" s="900" t="s">
        <v>184</v>
      </c>
      <c r="E214" s="897"/>
      <c r="F214" s="898"/>
      <c r="G214" s="899"/>
      <c r="H214" s="887"/>
      <c r="I214" s="887"/>
      <c r="J214" s="887"/>
      <c r="K214" s="887">
        <f t="shared" ref="K214:O214" si="60">+K207-K212</f>
        <v>526065.20093030925</v>
      </c>
      <c r="L214" s="887">
        <f t="shared" si="60"/>
        <v>512888.73839813011</v>
      </c>
      <c r="M214" s="887">
        <f t="shared" si="60"/>
        <v>510927.93839813006</v>
      </c>
      <c r="N214" s="887">
        <f t="shared" si="60"/>
        <v>510927.93839813006</v>
      </c>
      <c r="O214" s="887">
        <f t="shared" si="60"/>
        <v>514990.89839813008</v>
      </c>
      <c r="P214" s="905"/>
      <c r="Q214" s="109"/>
      <c r="R214" s="109"/>
      <c r="S214" s="109"/>
      <c r="T214" s="109"/>
    </row>
    <row r="215" spans="2:20" ht="12.75" customHeight="1" x14ac:dyDescent="0.3">
      <c r="B215" s="10"/>
      <c r="C215" s="893"/>
      <c r="D215" s="861"/>
      <c r="E215" s="861"/>
      <c r="F215" s="861"/>
      <c r="G215" s="861"/>
      <c r="H215" s="861"/>
      <c r="I215" s="861"/>
      <c r="J215" s="861"/>
      <c r="K215" s="861"/>
      <c r="L215" s="861"/>
      <c r="M215" s="861"/>
      <c r="N215" s="861"/>
      <c r="O215" s="861"/>
      <c r="P215" s="905"/>
      <c r="Q215" s="109"/>
      <c r="R215" s="109"/>
      <c r="S215" s="109"/>
      <c r="T215" s="109"/>
    </row>
    <row r="216" spans="2:20" ht="12.75" customHeight="1" x14ac:dyDescent="0.3">
      <c r="B216" s="10"/>
      <c r="C216" s="893"/>
      <c r="D216" s="861"/>
      <c r="E216" s="861"/>
      <c r="F216" s="861"/>
      <c r="G216" s="861"/>
      <c r="H216" s="861"/>
      <c r="I216" s="861"/>
      <c r="J216" s="861"/>
      <c r="K216" s="861"/>
      <c r="L216" s="861"/>
      <c r="M216" s="861"/>
      <c r="N216" s="861"/>
      <c r="O216" s="861"/>
      <c r="P216" s="905"/>
      <c r="Q216" s="109"/>
      <c r="R216" s="109"/>
      <c r="S216" s="109"/>
      <c r="T216" s="109"/>
    </row>
    <row r="217" spans="2:20" ht="12.75" customHeight="1" x14ac:dyDescent="0.3">
      <c r="B217" s="10"/>
      <c r="C217" s="893"/>
      <c r="D217" s="861"/>
      <c r="E217" s="861"/>
      <c r="F217" s="861"/>
      <c r="G217" s="861"/>
      <c r="H217" s="861"/>
      <c r="I217" s="861"/>
      <c r="J217" s="861"/>
      <c r="K217" s="861"/>
      <c r="L217" s="861"/>
      <c r="M217" s="861"/>
      <c r="N217" s="861"/>
      <c r="O217" s="861"/>
      <c r="P217" s="905"/>
      <c r="Q217" s="109"/>
      <c r="R217" s="109"/>
      <c r="S217" s="109"/>
      <c r="T217" s="109"/>
    </row>
    <row r="218" spans="2:20" x14ac:dyDescent="0.2">
      <c r="B218" s="109"/>
      <c r="C218" s="893"/>
      <c r="D218" s="888" t="s">
        <v>610</v>
      </c>
      <c r="E218" s="889"/>
      <c r="F218" s="890"/>
      <c r="G218" s="890"/>
      <c r="H218" s="886"/>
      <c r="I218" s="886"/>
      <c r="J218" s="1502"/>
      <c r="K218" s="1502" t="str">
        <f>tab!F2</f>
        <v>2019/20</v>
      </c>
      <c r="L218" s="1502" t="str">
        <f>tab!G2</f>
        <v>2020/21</v>
      </c>
      <c r="M218" s="1502" t="str">
        <f>tab!H2</f>
        <v>2021/22</v>
      </c>
      <c r="N218" s="1502" t="str">
        <f>tab!I2</f>
        <v>2022/23</v>
      </c>
      <c r="O218" s="1502" t="str">
        <f>tab!J2</f>
        <v>2023/24</v>
      </c>
      <c r="P218" s="906"/>
      <c r="Q218" s="12"/>
      <c r="R218" s="109"/>
      <c r="S218" s="532"/>
      <c r="T218" s="109"/>
    </row>
    <row r="219" spans="2:20" x14ac:dyDescent="0.2">
      <c r="B219" s="109"/>
      <c r="C219" s="893"/>
      <c r="D219" s="896" t="s">
        <v>229</v>
      </c>
      <c r="E219" s="897"/>
      <c r="F219" s="898"/>
      <c r="G219" s="899"/>
      <c r="H219" s="887"/>
      <c r="I219" s="887"/>
      <c r="J219" s="887"/>
      <c r="K219" s="887"/>
      <c r="L219" s="866"/>
      <c r="M219" s="866"/>
      <c r="N219" s="866"/>
      <c r="O219" s="866"/>
      <c r="P219" s="905"/>
      <c r="Q219" s="109"/>
      <c r="R219" s="109"/>
      <c r="S219" s="109"/>
      <c r="T219" s="109"/>
    </row>
    <row r="220" spans="2:20" x14ac:dyDescent="0.2">
      <c r="B220" s="109"/>
      <c r="C220" s="893"/>
      <c r="D220" s="900" t="s">
        <v>92</v>
      </c>
      <c r="E220" s="897"/>
      <c r="F220" s="898"/>
      <c r="G220" s="899"/>
      <c r="H220" s="887"/>
      <c r="I220" s="887"/>
      <c r="J220" s="887"/>
      <c r="K220" s="887">
        <f>5/12*K46+7/12*L46</f>
        <v>992636.57111987146</v>
      </c>
      <c r="L220" s="887">
        <f>5/12*L46+7/12*M46</f>
        <v>985854.17839813023</v>
      </c>
      <c r="M220" s="887">
        <f>5/12*M46+7/12*N46</f>
        <v>985854.17839813023</v>
      </c>
      <c r="N220" s="887">
        <f>5/12*N46+7/12*O46</f>
        <v>985854.17839813023</v>
      </c>
      <c r="O220" s="887">
        <f>O46</f>
        <v>985854.17839813011</v>
      </c>
      <c r="P220" s="907"/>
      <c r="Q220" s="109"/>
      <c r="R220" s="109"/>
      <c r="S220" s="109"/>
      <c r="T220" s="109"/>
    </row>
    <row r="221" spans="2:20" x14ac:dyDescent="0.2">
      <c r="B221" s="109"/>
      <c r="C221" s="893"/>
      <c r="D221" s="900" t="s">
        <v>168</v>
      </c>
      <c r="E221" s="897"/>
      <c r="F221" s="898"/>
      <c r="G221" s="899"/>
      <c r="H221" s="887"/>
      <c r="I221" s="887"/>
      <c r="J221" s="887"/>
      <c r="K221" s="887">
        <f>5/12*K66+7/12*L66</f>
        <v>0</v>
      </c>
      <c r="L221" s="887">
        <f>5/12*L66+7/12*M66</f>
        <v>0</v>
      </c>
      <c r="M221" s="887">
        <f>5/12*M66+7/12*N66</f>
        <v>0</v>
      </c>
      <c r="N221" s="887">
        <f>N66</f>
        <v>0</v>
      </c>
      <c r="O221" s="887">
        <f>O66</f>
        <v>0</v>
      </c>
      <c r="P221" s="907"/>
      <c r="Q221" s="109"/>
      <c r="R221" s="109"/>
      <c r="S221" s="109"/>
      <c r="T221" s="109"/>
    </row>
    <row r="222" spans="2:20" x14ac:dyDescent="0.2">
      <c r="B222" s="109"/>
      <c r="C222" s="893"/>
      <c r="D222" s="900" t="s">
        <v>180</v>
      </c>
      <c r="E222" s="897"/>
      <c r="F222" s="898"/>
      <c r="G222" s="899"/>
      <c r="H222" s="887"/>
      <c r="I222" s="887"/>
      <c r="J222" s="887"/>
      <c r="K222" s="887">
        <f>5/12*K204+7/12*L204</f>
        <v>0</v>
      </c>
      <c r="L222" s="887">
        <f>5/12*L204+7/12*M204</f>
        <v>0</v>
      </c>
      <c r="M222" s="887">
        <f>5/12*M204+7/12*N204</f>
        <v>0</v>
      </c>
      <c r="N222" s="887">
        <f>N204</f>
        <v>0</v>
      </c>
      <c r="O222" s="887">
        <f>O204</f>
        <v>0</v>
      </c>
      <c r="P222" s="905"/>
      <c r="Q222" s="109"/>
      <c r="R222" s="109"/>
      <c r="S222" s="109"/>
      <c r="T222" s="109"/>
    </row>
    <row r="223" spans="2:20" x14ac:dyDescent="0.2">
      <c r="B223" s="109"/>
      <c r="C223" s="893"/>
      <c r="D223" s="900" t="s">
        <v>181</v>
      </c>
      <c r="E223" s="897"/>
      <c r="F223" s="898"/>
      <c r="G223" s="899"/>
      <c r="H223" s="887"/>
      <c r="I223" s="887"/>
      <c r="J223" s="887"/>
      <c r="K223" s="887">
        <f>5/12*(K73+K83)+7/12*(L73+L83)</f>
        <v>0</v>
      </c>
      <c r="L223" s="887">
        <f>5/12*(L73+L83)+7/12*(M73+M83)</f>
        <v>0</v>
      </c>
      <c r="M223" s="887">
        <f>5/12*(M73+M83)+7/12*(N73+N83)</f>
        <v>0</v>
      </c>
      <c r="N223" s="887">
        <f>N73+N83</f>
        <v>0</v>
      </c>
      <c r="O223" s="887">
        <f>O73+O83</f>
        <v>0</v>
      </c>
      <c r="P223" s="907"/>
      <c r="Q223" s="109"/>
      <c r="R223" s="109"/>
      <c r="S223" s="109"/>
      <c r="T223" s="109"/>
    </row>
    <row r="224" spans="2:20" x14ac:dyDescent="0.2">
      <c r="B224" s="109"/>
      <c r="C224" s="893"/>
      <c r="D224" s="900" t="s">
        <v>94</v>
      </c>
      <c r="E224" s="897"/>
      <c r="F224" s="898"/>
      <c r="G224" s="899"/>
      <c r="H224" s="887"/>
      <c r="I224" s="887"/>
      <c r="J224" s="887"/>
      <c r="K224" s="887">
        <f>5/12*(K92-K73-K74-K83-K84)+7/12*(L92-L73-L74-L83-L84)</f>
        <v>0</v>
      </c>
      <c r="L224" s="887">
        <f>5/12*(L92-L73-L74-L83-L84)+7/12*(M92-M73-M74-M83-M84)</f>
        <v>0</v>
      </c>
      <c r="M224" s="887">
        <f>5/12*(M92-M73-M74-M83-M84)+7/12*(N92-N73-N74-N83-N84)</f>
        <v>0</v>
      </c>
      <c r="N224" s="887">
        <f>5/12*(N92-N73-N74-N83-N84)+7/12*(O92-O73-O74-O83-O84)</f>
        <v>0</v>
      </c>
      <c r="O224" s="887">
        <f>(O92-O73-O83)</f>
        <v>0</v>
      </c>
      <c r="P224" s="907"/>
      <c r="Q224" s="109"/>
      <c r="R224" s="109"/>
      <c r="S224" s="109"/>
      <c r="T224" s="109"/>
    </row>
    <row r="225" spans="2:20" x14ac:dyDescent="0.2">
      <c r="B225" s="109"/>
      <c r="C225" s="893"/>
      <c r="D225" s="900"/>
      <c r="E225" s="897"/>
      <c r="F225" s="901" t="s">
        <v>541</v>
      </c>
      <c r="G225" s="899"/>
      <c r="H225" s="887"/>
      <c r="I225" s="887"/>
      <c r="J225" s="887"/>
      <c r="K225" s="887">
        <f t="shared" ref="K225:O225" si="61">SUM(K220:K224)</f>
        <v>992636.57111987146</v>
      </c>
      <c r="L225" s="887">
        <f t="shared" si="61"/>
        <v>985854.17839813023</v>
      </c>
      <c r="M225" s="887">
        <f t="shared" si="61"/>
        <v>985854.17839813023</v>
      </c>
      <c r="N225" s="887">
        <f t="shared" si="61"/>
        <v>985854.17839813023</v>
      </c>
      <c r="O225" s="887">
        <f t="shared" si="61"/>
        <v>985854.17839813011</v>
      </c>
      <c r="P225" s="907"/>
      <c r="Q225" s="109"/>
      <c r="R225" s="109"/>
      <c r="S225" s="109"/>
      <c r="T225" s="109"/>
    </row>
    <row r="226" spans="2:20" x14ac:dyDescent="0.2">
      <c r="B226" s="114"/>
      <c r="C226" s="894"/>
      <c r="D226" s="896" t="s">
        <v>182</v>
      </c>
      <c r="E226" s="897"/>
      <c r="F226" s="898"/>
      <c r="G226" s="899"/>
      <c r="H226" s="887"/>
      <c r="I226" s="887"/>
      <c r="J226" s="887"/>
      <c r="K226" s="887"/>
      <c r="L226" s="887"/>
      <c r="M226" s="887"/>
      <c r="N226" s="887"/>
      <c r="O226" s="887"/>
      <c r="P226" s="905"/>
      <c r="Q226" s="109"/>
      <c r="R226" s="109"/>
      <c r="S226" s="109"/>
      <c r="T226" s="109"/>
    </row>
    <row r="227" spans="2:20" x14ac:dyDescent="0.2">
      <c r="B227" s="109"/>
      <c r="C227" s="893"/>
      <c r="D227" s="896" t="s">
        <v>95</v>
      </c>
      <c r="E227" s="897"/>
      <c r="F227" s="898"/>
      <c r="G227" s="899"/>
      <c r="H227" s="887"/>
      <c r="I227" s="887"/>
      <c r="J227" s="887"/>
      <c r="K227" s="887">
        <f>5/12*K112+7/12*L112</f>
        <v>13875</v>
      </c>
      <c r="L227" s="887">
        <f>5/12*L112+7/12*M112</f>
        <v>13875</v>
      </c>
      <c r="M227" s="887">
        <f>5/12*M112+7/12*N112</f>
        <v>13875</v>
      </c>
      <c r="N227" s="887">
        <f>N112</f>
        <v>13875</v>
      </c>
      <c r="O227" s="887">
        <f>O112</f>
        <v>13875</v>
      </c>
      <c r="P227" s="907"/>
      <c r="Q227" s="109"/>
      <c r="R227" s="109"/>
      <c r="S227" s="109"/>
      <c r="T227" s="109"/>
    </row>
    <row r="228" spans="2:20" x14ac:dyDescent="0.2">
      <c r="B228" s="109"/>
      <c r="C228" s="893"/>
      <c r="D228" s="896" t="s">
        <v>96</v>
      </c>
      <c r="E228" s="897"/>
      <c r="F228" s="898"/>
      <c r="G228" s="899"/>
      <c r="H228" s="887"/>
      <c r="I228" s="887"/>
      <c r="J228" s="887"/>
      <c r="K228" s="887">
        <f>5/12*K132+7/12*L132</f>
        <v>0</v>
      </c>
      <c r="L228" s="887">
        <f>5/12*L132+7/12*M132</f>
        <v>0</v>
      </c>
      <c r="M228" s="887">
        <f>5/12*M132+7/12*N132</f>
        <v>0</v>
      </c>
      <c r="N228" s="887">
        <f>N132</f>
        <v>0</v>
      </c>
      <c r="O228" s="887">
        <f>O132</f>
        <v>0</v>
      </c>
      <c r="P228" s="907"/>
      <c r="Q228" s="109"/>
      <c r="R228" s="109"/>
      <c r="S228" s="109"/>
      <c r="T228" s="109"/>
    </row>
    <row r="229" spans="2:20" x14ac:dyDescent="0.2">
      <c r="B229" s="109"/>
      <c r="C229" s="893"/>
      <c r="D229" s="902" t="s">
        <v>867</v>
      </c>
      <c r="E229" s="897"/>
      <c r="F229" s="898"/>
      <c r="G229" s="899"/>
      <c r="H229" s="887"/>
      <c r="I229" s="887"/>
      <c r="J229" s="887"/>
      <c r="K229" s="887">
        <f>5/12*K184+7/12*L184</f>
        <v>460382.64000000007</v>
      </c>
      <c r="L229" s="887">
        <f>5/12*L184+7/12*M184</f>
        <v>460234.24000000005</v>
      </c>
      <c r="M229" s="887">
        <f>5/12*M184+7/12*N184</f>
        <v>461051.24000000005</v>
      </c>
      <c r="N229" s="887">
        <f>N184</f>
        <v>461051.24000000005</v>
      </c>
      <c r="O229" s="887">
        <f>O184</f>
        <v>456988.28</v>
      </c>
      <c r="P229" s="907"/>
      <c r="Q229" s="109"/>
      <c r="R229" s="109"/>
      <c r="S229" s="109"/>
      <c r="T229" s="109"/>
    </row>
    <row r="230" spans="2:20" x14ac:dyDescent="0.2">
      <c r="B230" s="109"/>
      <c r="C230" s="893"/>
      <c r="D230" s="900"/>
      <c r="E230" s="897"/>
      <c r="F230" s="901" t="s">
        <v>542</v>
      </c>
      <c r="G230" s="899"/>
      <c r="H230" s="887"/>
      <c r="I230" s="887"/>
      <c r="J230" s="887"/>
      <c r="K230" s="887">
        <f t="shared" ref="K230:O230" si="62">SUM(K227:K229)</f>
        <v>474257.64000000007</v>
      </c>
      <c r="L230" s="887">
        <f t="shared" si="62"/>
        <v>474109.24000000005</v>
      </c>
      <c r="M230" s="887">
        <f t="shared" si="62"/>
        <v>474926.24000000005</v>
      </c>
      <c r="N230" s="887">
        <f t="shared" si="62"/>
        <v>474926.24000000005</v>
      </c>
      <c r="O230" s="887">
        <f t="shared" si="62"/>
        <v>470863.28</v>
      </c>
      <c r="P230" s="907"/>
      <c r="Q230" s="109"/>
      <c r="R230" s="109"/>
      <c r="S230" s="109"/>
      <c r="T230" s="109"/>
    </row>
    <row r="231" spans="2:20" x14ac:dyDescent="0.2">
      <c r="B231" s="109"/>
      <c r="C231" s="893"/>
      <c r="D231" s="903"/>
      <c r="E231" s="897"/>
      <c r="F231" s="898"/>
      <c r="G231" s="899"/>
      <c r="H231" s="887"/>
      <c r="I231" s="887"/>
      <c r="J231" s="887"/>
      <c r="K231" s="887"/>
      <c r="L231" s="887"/>
      <c r="M231" s="887"/>
      <c r="N231" s="887"/>
      <c r="O231" s="887"/>
      <c r="P231" s="905"/>
      <c r="Q231" s="109"/>
      <c r="R231" s="109"/>
      <c r="S231" s="109"/>
      <c r="T231" s="109"/>
    </row>
    <row r="232" spans="2:20" x14ac:dyDescent="0.2">
      <c r="B232" s="113"/>
      <c r="C232" s="895"/>
      <c r="D232" s="900" t="s">
        <v>184</v>
      </c>
      <c r="E232" s="897"/>
      <c r="F232" s="898"/>
      <c r="G232" s="899"/>
      <c r="H232" s="887"/>
      <c r="I232" s="887"/>
      <c r="J232" s="887"/>
      <c r="K232" s="887">
        <f t="shared" ref="K232:O232" si="63">+K225-K230</f>
        <v>518378.93111987138</v>
      </c>
      <c r="L232" s="887">
        <f t="shared" si="63"/>
        <v>511744.93839813018</v>
      </c>
      <c r="M232" s="887">
        <f t="shared" si="63"/>
        <v>510927.93839813018</v>
      </c>
      <c r="N232" s="887">
        <f t="shared" si="63"/>
        <v>510927.93839813018</v>
      </c>
      <c r="O232" s="887">
        <f t="shared" si="63"/>
        <v>514990.89839813008</v>
      </c>
      <c r="P232" s="907"/>
      <c r="Q232" s="109"/>
      <c r="R232" s="109"/>
      <c r="S232" s="109"/>
      <c r="T232" s="109"/>
    </row>
    <row r="233" spans="2:20" ht="13.5" thickBot="1" x14ac:dyDescent="0.25">
      <c r="B233" s="109"/>
      <c r="C233" s="909"/>
      <c r="D233" s="910"/>
      <c r="E233" s="911"/>
      <c r="F233" s="912"/>
      <c r="G233" s="911"/>
      <c r="H233" s="911"/>
      <c r="I233" s="911"/>
      <c r="J233" s="913"/>
      <c r="K233" s="913"/>
      <c r="L233" s="911"/>
      <c r="M233" s="911"/>
      <c r="N233" s="911"/>
      <c r="O233" s="911"/>
      <c r="P233" s="908"/>
      <c r="Q233" s="109"/>
      <c r="R233" s="109"/>
      <c r="S233" s="109"/>
      <c r="T233" s="109"/>
    </row>
    <row r="234" spans="2:20" ht="13.5" thickTop="1" x14ac:dyDescent="0.2">
      <c r="B234" s="109"/>
      <c r="C234" s="109"/>
      <c r="D234" s="396"/>
      <c r="E234" s="109"/>
      <c r="F234" s="112"/>
      <c r="G234" s="109"/>
      <c r="H234" s="109"/>
      <c r="I234" s="109"/>
      <c r="J234" s="225"/>
      <c r="K234" s="225"/>
      <c r="L234" s="109"/>
      <c r="M234" s="109"/>
      <c r="N234" s="109"/>
      <c r="O234" s="109"/>
      <c r="P234" s="109"/>
      <c r="Q234" s="109"/>
      <c r="R234" s="109"/>
      <c r="S234" s="109"/>
      <c r="T234" s="109"/>
    </row>
    <row r="235" spans="2:20" x14ac:dyDescent="0.2">
      <c r="B235" s="109"/>
      <c r="C235" s="109"/>
      <c r="D235" s="109"/>
      <c r="E235" s="109"/>
      <c r="F235" s="112"/>
      <c r="G235" s="109"/>
      <c r="H235" s="109"/>
      <c r="I235" s="109"/>
      <c r="J235" s="112"/>
      <c r="K235" s="112"/>
      <c r="L235" s="112"/>
      <c r="M235" s="112"/>
      <c r="N235" s="112"/>
      <c r="O235" s="112"/>
      <c r="P235" s="109"/>
      <c r="Q235" s="109"/>
      <c r="R235" s="109"/>
      <c r="S235" s="109"/>
    </row>
    <row r="236" spans="2:20" x14ac:dyDescent="0.2">
      <c r="B236" s="109"/>
      <c r="C236" s="109"/>
      <c r="D236" s="109"/>
      <c r="E236" s="109"/>
      <c r="F236" s="112"/>
      <c r="G236" s="109"/>
      <c r="H236" s="109"/>
      <c r="I236" s="109"/>
      <c r="J236" s="112"/>
      <c r="K236" s="112"/>
      <c r="L236" s="112"/>
      <c r="M236" s="112"/>
      <c r="N236" s="112"/>
      <c r="O236" s="112"/>
      <c r="P236" s="109"/>
      <c r="Q236" s="109"/>
      <c r="R236" s="109"/>
      <c r="S236" s="109"/>
    </row>
    <row r="237" spans="2:20" x14ac:dyDescent="0.2">
      <c r="B237" s="109"/>
      <c r="C237" s="109"/>
      <c r="D237" s="109"/>
      <c r="E237" s="109"/>
      <c r="F237" s="112"/>
      <c r="G237" s="109"/>
      <c r="H237" s="109"/>
      <c r="I237" s="109"/>
      <c r="J237" s="112"/>
      <c r="K237" s="112"/>
      <c r="L237" s="112"/>
      <c r="M237" s="112"/>
      <c r="N237" s="112"/>
      <c r="O237" s="112"/>
      <c r="P237" s="109"/>
      <c r="Q237" s="109"/>
      <c r="R237" s="109"/>
      <c r="S237" s="109"/>
    </row>
    <row r="238" spans="2:20" x14ac:dyDescent="0.2">
      <c r="B238" s="109"/>
      <c r="C238" s="109"/>
      <c r="D238" s="109"/>
      <c r="E238" s="109"/>
      <c r="F238" s="112"/>
      <c r="G238" s="109"/>
      <c r="H238" s="109"/>
      <c r="I238" s="109"/>
      <c r="J238" s="112"/>
      <c r="K238" s="112"/>
      <c r="L238" s="112"/>
      <c r="M238" s="112"/>
      <c r="N238" s="112"/>
      <c r="O238" s="112"/>
      <c r="P238" s="109"/>
      <c r="Q238" s="109"/>
      <c r="R238" s="109"/>
      <c r="S238" s="109"/>
    </row>
    <row r="239" spans="2:20" x14ac:dyDescent="0.2">
      <c r="B239" s="109"/>
      <c r="C239" s="109"/>
      <c r="D239" s="109"/>
      <c r="E239" s="109"/>
      <c r="F239" s="112"/>
      <c r="G239" s="109"/>
      <c r="H239" s="109"/>
      <c r="I239" s="109"/>
      <c r="J239" s="112"/>
      <c r="K239" s="112"/>
      <c r="L239" s="112"/>
      <c r="M239" s="112"/>
      <c r="N239" s="112"/>
      <c r="O239" s="112"/>
      <c r="P239" s="109"/>
      <c r="Q239" s="109"/>
      <c r="R239" s="109"/>
      <c r="S239" s="109"/>
    </row>
    <row r="240" spans="2:20" x14ac:dyDescent="0.2">
      <c r="B240" s="109"/>
      <c r="C240" s="109"/>
      <c r="D240" s="109"/>
      <c r="E240" s="109"/>
      <c r="F240" s="112"/>
      <c r="G240" s="109"/>
      <c r="H240" s="109"/>
      <c r="I240" s="109"/>
      <c r="J240" s="112"/>
      <c r="K240" s="112"/>
      <c r="L240" s="112"/>
      <c r="M240" s="112"/>
      <c r="N240" s="112"/>
      <c r="O240" s="112"/>
      <c r="P240" s="109"/>
      <c r="Q240" s="109"/>
      <c r="R240" s="109"/>
      <c r="S240" s="109"/>
    </row>
    <row r="241" spans="2:19" x14ac:dyDescent="0.2">
      <c r="B241" s="109"/>
      <c r="C241" s="109"/>
      <c r="D241" s="109"/>
      <c r="E241" s="109"/>
      <c r="F241" s="112"/>
      <c r="G241" s="109"/>
      <c r="H241" s="109"/>
      <c r="I241" s="109"/>
      <c r="J241" s="112"/>
      <c r="K241" s="112"/>
      <c r="L241" s="112"/>
      <c r="M241" s="112"/>
      <c r="N241" s="112"/>
      <c r="O241" s="112"/>
      <c r="P241" s="109"/>
      <c r="Q241" s="109"/>
      <c r="R241" s="109"/>
      <c r="S241" s="109"/>
    </row>
    <row r="242" spans="2:19" x14ac:dyDescent="0.2">
      <c r="B242" s="109"/>
      <c r="C242" s="109"/>
      <c r="D242" s="109"/>
      <c r="E242" s="109"/>
      <c r="F242" s="112"/>
      <c r="G242" s="109"/>
      <c r="H242" s="109"/>
      <c r="I242" s="109"/>
      <c r="J242" s="112"/>
      <c r="K242" s="112"/>
      <c r="L242" s="112"/>
      <c r="M242" s="112"/>
      <c r="N242" s="112"/>
      <c r="O242" s="112"/>
      <c r="P242" s="109"/>
      <c r="Q242" s="109"/>
      <c r="R242" s="109"/>
      <c r="S242" s="109"/>
    </row>
    <row r="243" spans="2:19" x14ac:dyDescent="0.2">
      <c r="B243" s="109"/>
      <c r="C243" s="109"/>
      <c r="D243" s="109"/>
      <c r="E243" s="109"/>
      <c r="F243" s="112"/>
      <c r="G243" s="109"/>
      <c r="H243" s="109"/>
      <c r="I243" s="109"/>
      <c r="J243" s="112"/>
      <c r="K243" s="112"/>
      <c r="L243" s="112"/>
      <c r="M243" s="112"/>
      <c r="N243" s="112"/>
      <c r="O243" s="112"/>
      <c r="P243" s="109"/>
      <c r="Q243" s="109"/>
      <c r="R243" s="109"/>
      <c r="S243" s="109"/>
    </row>
    <row r="244" spans="2:19" x14ac:dyDescent="0.2">
      <c r="B244" s="109"/>
      <c r="C244" s="109"/>
      <c r="D244" s="109"/>
      <c r="E244" s="109"/>
      <c r="F244" s="112"/>
      <c r="G244" s="109"/>
      <c r="H244" s="109"/>
      <c r="I244" s="109"/>
      <c r="J244" s="112"/>
      <c r="K244" s="112"/>
      <c r="L244" s="112"/>
      <c r="M244" s="112"/>
      <c r="N244" s="112"/>
      <c r="O244" s="112"/>
      <c r="P244" s="109"/>
      <c r="Q244" s="109"/>
      <c r="R244" s="109"/>
      <c r="S244" s="109"/>
    </row>
    <row r="245" spans="2:19" x14ac:dyDescent="0.2">
      <c r="B245" s="109"/>
      <c r="C245" s="109"/>
      <c r="D245" s="109"/>
      <c r="E245" s="109"/>
      <c r="F245" s="112"/>
      <c r="G245" s="109"/>
      <c r="H245" s="109"/>
      <c r="I245" s="109"/>
      <c r="J245" s="112"/>
      <c r="K245" s="112"/>
      <c r="L245" s="112"/>
      <c r="M245" s="112"/>
      <c r="N245" s="112"/>
      <c r="O245" s="112"/>
      <c r="P245" s="109"/>
      <c r="Q245" s="109"/>
      <c r="R245" s="109"/>
      <c r="S245" s="109"/>
    </row>
    <row r="246" spans="2:19" x14ac:dyDescent="0.2">
      <c r="B246" s="109"/>
      <c r="C246" s="109"/>
      <c r="D246" s="109"/>
      <c r="E246" s="109"/>
      <c r="F246" s="112"/>
      <c r="G246" s="109"/>
      <c r="H246" s="109"/>
      <c r="I246" s="109"/>
      <c r="J246" s="112"/>
      <c r="K246" s="112"/>
      <c r="L246" s="112"/>
      <c r="M246" s="112"/>
      <c r="N246" s="112"/>
      <c r="O246" s="112"/>
      <c r="P246" s="109"/>
      <c r="Q246" s="109"/>
      <c r="R246" s="109"/>
      <c r="S246" s="109"/>
    </row>
  </sheetData>
  <sheetProtection algorithmName="SHA-512" hashValue="GdWvMGAnwB6pspNzqMmz6hT/9RXuRUYRyRpRAWtRK0dAIV7qhFkj9YKG2xcLcI80YfZnecvSQtQ6cmLLbBLhNA==" saltValue="RjocMAtNNwuEoGdwXUpQpQ==" spinCount="100000" sheet="1" objects="1" scenarios="1"/>
  <phoneticPr fontId="0" type="noConversion"/>
  <hyperlinks>
    <hyperlink ref="P196" r:id="rId1" xr:uid="{00000000-0004-0000-0700-000000000000}"/>
  </hyperlinks>
  <pageMargins left="0.74803149606299213" right="0.74803149606299213" top="0.98425196850393704" bottom="0.98425196850393704" header="0.51181102362204722" footer="0.51181102362204722"/>
  <pageSetup paperSize="9" scale="50" orientation="portrait" r:id="rId2"/>
  <headerFooter alignWithMargins="0">
    <oddHeader>&amp;L&amp;"Arial,Vet"&amp;9&amp;F&amp;R&amp;"Arial,Vet"&amp;9&amp;A</oddHeader>
    <oddFooter>&amp;L&amp;"Arial,Vet"&amp;9be.keizer@wxs.nl&amp;C&amp;"Arial,Vet"&amp;9pagina &amp;P&amp;R&amp;"Arial,Vet"&amp;9&amp;D</oddFooter>
  </headerFooter>
  <rowBreaks count="2" manualBreakCount="2">
    <brk id="99" min="1" max="16" man="1"/>
    <brk id="196" min="1" max="16" man="1"/>
  </rowBreaks>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R380"/>
  <sheetViews>
    <sheetView showGridLines="0" zoomScale="85" zoomScaleNormal="85" zoomScaleSheetLayoutView="85" workbookViewId="0">
      <selection activeCell="B2" sqref="B2"/>
    </sheetView>
  </sheetViews>
  <sheetFormatPr defaultRowHeight="12.75" x14ac:dyDescent="0.2"/>
  <cols>
    <col min="1" max="1" width="3.7109375" style="190" customWidth="1"/>
    <col min="2" max="3" width="2.7109375" style="190" customWidth="1"/>
    <col min="4" max="4" width="45.7109375" style="190" customWidth="1"/>
    <col min="5" max="5" width="0.85546875" style="190" customWidth="1"/>
    <col min="6" max="6" width="8.7109375" style="194" customWidth="1"/>
    <col min="7" max="7" width="2.7109375" style="190" customWidth="1"/>
    <col min="8" max="13" width="14.7109375" style="194" customWidth="1"/>
    <col min="14" max="14" width="14.7109375" style="194" hidden="1" customWidth="1"/>
    <col min="15" max="16" width="2.7109375" style="190" customWidth="1"/>
    <col min="17" max="16384" width="9.140625" style="190"/>
  </cols>
  <sheetData>
    <row r="2" spans="2:18" x14ac:dyDescent="0.2">
      <c r="B2" s="71"/>
      <c r="C2" s="72"/>
      <c r="D2" s="72"/>
      <c r="E2" s="72"/>
      <c r="F2" s="73"/>
      <c r="G2" s="72"/>
      <c r="H2" s="73"/>
      <c r="I2" s="73"/>
      <c r="J2" s="73"/>
      <c r="K2" s="73"/>
      <c r="L2" s="73"/>
      <c r="M2" s="73"/>
      <c r="N2" s="73"/>
      <c r="O2" s="72"/>
      <c r="P2" s="74"/>
    </row>
    <row r="3" spans="2:18" x14ac:dyDescent="0.2">
      <c r="B3" s="75"/>
      <c r="C3" s="76"/>
      <c r="D3" s="56"/>
      <c r="E3" s="76"/>
      <c r="F3" s="69"/>
      <c r="G3" s="76"/>
      <c r="H3" s="69"/>
      <c r="I3" s="69"/>
      <c r="J3" s="69"/>
      <c r="K3" s="69"/>
      <c r="L3" s="69"/>
      <c r="M3" s="69"/>
      <c r="N3" s="69"/>
      <c r="O3" s="76"/>
      <c r="P3" s="77"/>
    </row>
    <row r="4" spans="2:18" s="167" customFormat="1" ht="18.75" x14ac:dyDescent="0.3">
      <c r="B4" s="172"/>
      <c r="C4" s="602" t="s">
        <v>861</v>
      </c>
      <c r="D4" s="174"/>
      <c r="E4" s="174"/>
      <c r="F4" s="175"/>
      <c r="G4" s="174"/>
      <c r="H4" s="175"/>
      <c r="I4" s="175"/>
      <c r="J4" s="175"/>
      <c r="K4" s="175"/>
      <c r="L4" s="175"/>
      <c r="M4" s="175"/>
      <c r="N4" s="175"/>
      <c r="O4" s="174"/>
      <c r="P4" s="176"/>
    </row>
    <row r="5" spans="2:18" s="168" customFormat="1" ht="18.75" x14ac:dyDescent="0.3">
      <c r="B5" s="26"/>
      <c r="C5" s="1358" t="str">
        <f>'geg ll'!C5</f>
        <v>Voorbeeld SWV VO Alkmaar</v>
      </c>
      <c r="D5" s="57"/>
      <c r="E5" s="27"/>
      <c r="F5" s="177"/>
      <c r="G5" s="27"/>
      <c r="H5" s="177"/>
      <c r="I5" s="177"/>
      <c r="J5" s="177"/>
      <c r="K5" s="177"/>
      <c r="L5" s="177"/>
      <c r="M5" s="177"/>
      <c r="N5" s="177"/>
      <c r="O5" s="27"/>
      <c r="P5" s="28"/>
    </row>
    <row r="6" spans="2:18" x14ac:dyDescent="0.2">
      <c r="B6" s="75"/>
      <c r="C6" s="76"/>
      <c r="D6" s="56"/>
      <c r="E6" s="76"/>
      <c r="F6" s="69"/>
      <c r="G6" s="76"/>
      <c r="H6" s="69"/>
      <c r="I6" s="69"/>
      <c r="J6" s="69"/>
      <c r="K6" s="69"/>
      <c r="L6" s="69"/>
      <c r="M6" s="69"/>
      <c r="N6" s="69"/>
      <c r="O6" s="76"/>
      <c r="P6" s="77"/>
    </row>
    <row r="7" spans="2:18" x14ac:dyDescent="0.2">
      <c r="B7" s="75"/>
      <c r="C7" s="76"/>
      <c r="D7" s="56"/>
      <c r="E7" s="76"/>
      <c r="F7" s="69"/>
      <c r="G7" s="76"/>
      <c r="H7" s="69"/>
      <c r="I7" s="398"/>
      <c r="J7" s="69"/>
      <c r="K7" s="69"/>
      <c r="L7" s="69"/>
      <c r="M7" s="69"/>
      <c r="N7" s="69"/>
      <c r="O7" s="76"/>
      <c r="P7" s="77"/>
    </row>
    <row r="8" spans="2:18" s="209" customFormat="1" x14ac:dyDescent="0.2">
      <c r="B8" s="211"/>
      <c r="C8" s="212"/>
      <c r="D8" s="212"/>
      <c r="E8" s="212"/>
      <c r="F8" s="569" t="s">
        <v>119</v>
      </c>
      <c r="G8" s="570"/>
      <c r="H8" s="576" t="str">
        <f>tab!F2</f>
        <v>2019/20</v>
      </c>
      <c r="I8" s="576" t="str">
        <f>tab!G2</f>
        <v>2020/21</v>
      </c>
      <c r="J8" s="576" t="str">
        <f>tab!H2</f>
        <v>2021/22</v>
      </c>
      <c r="K8" s="576" t="str">
        <f>tab!I2</f>
        <v>2022/23</v>
      </c>
      <c r="L8" s="576" t="str">
        <f>tab!J2</f>
        <v>2023/24</v>
      </c>
      <c r="M8" s="576" t="str">
        <f>tab!K2</f>
        <v>2024/25</v>
      </c>
      <c r="N8" s="576" t="str">
        <f>tab!L2</f>
        <v>2025/26</v>
      </c>
      <c r="O8" s="212"/>
      <c r="P8" s="213"/>
      <c r="Q8" s="208"/>
      <c r="R8" s="208"/>
    </row>
    <row r="9" spans="2:18" x14ac:dyDescent="0.2">
      <c r="B9" s="75"/>
      <c r="C9" s="76"/>
      <c r="D9" s="76"/>
      <c r="E9" s="76"/>
      <c r="F9" s="69"/>
      <c r="G9" s="76"/>
      <c r="H9" s="69"/>
      <c r="I9" s="69"/>
      <c r="J9" s="69"/>
      <c r="K9" s="69"/>
      <c r="L9" s="69"/>
      <c r="M9" s="69"/>
      <c r="N9" s="69"/>
      <c r="O9" s="76"/>
      <c r="P9" s="77"/>
      <c r="Q9" s="109"/>
      <c r="R9" s="109"/>
    </row>
    <row r="10" spans="2:18" x14ac:dyDescent="0.2">
      <c r="B10" s="75"/>
      <c r="C10" s="187"/>
      <c r="D10" s="195"/>
      <c r="E10" s="187"/>
      <c r="F10" s="70"/>
      <c r="G10" s="187"/>
      <c r="H10" s="70"/>
      <c r="I10" s="70"/>
      <c r="J10" s="70"/>
      <c r="K10" s="70"/>
      <c r="L10" s="70"/>
      <c r="M10" s="70"/>
      <c r="N10" s="70"/>
      <c r="O10" s="187"/>
      <c r="P10" s="77"/>
      <c r="Q10" s="109"/>
      <c r="R10" s="109"/>
    </row>
    <row r="11" spans="2:18" x14ac:dyDescent="0.2">
      <c r="B11" s="75"/>
      <c r="C11" s="187"/>
      <c r="D11" s="1290" t="str">
        <f>+pers!D162</f>
        <v>programma 1 Arrangementen</v>
      </c>
      <c r="E11" s="187"/>
      <c r="F11" s="70"/>
      <c r="G11" s="187"/>
      <c r="H11" s="70"/>
      <c r="I11" s="70"/>
      <c r="J11" s="70"/>
      <c r="K11" s="70"/>
      <c r="L11" s="70"/>
      <c r="M11" s="70"/>
      <c r="N11" s="70"/>
      <c r="O11" s="187"/>
      <c r="P11" s="77"/>
      <c r="Q11" s="109"/>
      <c r="R11" s="109"/>
    </row>
    <row r="12" spans="2:18" x14ac:dyDescent="0.2">
      <c r="B12" s="75"/>
      <c r="C12" s="187"/>
      <c r="D12" s="185"/>
      <c r="E12" s="187"/>
      <c r="F12" s="70"/>
      <c r="G12" s="187"/>
      <c r="H12" s="70"/>
      <c r="I12" s="70"/>
      <c r="J12" s="70"/>
      <c r="K12" s="70"/>
      <c r="L12" s="70"/>
      <c r="M12" s="70"/>
      <c r="N12" s="70"/>
      <c r="O12" s="187"/>
      <c r="P12" s="77"/>
      <c r="Q12" s="109"/>
      <c r="R12" s="109"/>
    </row>
    <row r="13" spans="2:18" x14ac:dyDescent="0.2">
      <c r="B13" s="75"/>
      <c r="C13" s="187"/>
      <c r="D13" s="195" t="s">
        <v>476</v>
      </c>
      <c r="E13" s="187"/>
      <c r="F13" s="70"/>
      <c r="G13" s="187"/>
      <c r="H13" s="65" t="str">
        <f>H8</f>
        <v>2019/20</v>
      </c>
      <c r="I13" s="65" t="str">
        <f t="shared" ref="I13:N13" si="0">I8</f>
        <v>2020/21</v>
      </c>
      <c r="J13" s="65" t="str">
        <f t="shared" si="0"/>
        <v>2021/22</v>
      </c>
      <c r="K13" s="65" t="str">
        <f t="shared" si="0"/>
        <v>2022/23</v>
      </c>
      <c r="L13" s="65" t="str">
        <f t="shared" si="0"/>
        <v>2023/24</v>
      </c>
      <c r="M13" s="65" t="str">
        <f t="shared" si="0"/>
        <v>2024/25</v>
      </c>
      <c r="N13" s="65" t="str">
        <f t="shared" si="0"/>
        <v>2025/26</v>
      </c>
      <c r="O13" s="187"/>
      <c r="P13" s="77"/>
      <c r="Q13" s="109"/>
      <c r="R13" s="109"/>
    </row>
    <row r="14" spans="2:18" x14ac:dyDescent="0.2">
      <c r="B14" s="75"/>
      <c r="C14" s="187"/>
      <c r="D14" s="561" t="s">
        <v>848</v>
      </c>
      <c r="E14" s="34"/>
      <c r="F14" s="42"/>
      <c r="G14" s="34"/>
      <c r="H14" s="511">
        <v>12345</v>
      </c>
      <c r="I14" s="511">
        <f t="shared" ref="I14:N14" si="1">H14</f>
        <v>12345</v>
      </c>
      <c r="J14" s="511">
        <f t="shared" si="1"/>
        <v>12345</v>
      </c>
      <c r="K14" s="511">
        <f t="shared" si="1"/>
        <v>12345</v>
      </c>
      <c r="L14" s="511">
        <f t="shared" si="1"/>
        <v>12345</v>
      </c>
      <c r="M14" s="511">
        <f t="shared" si="1"/>
        <v>12345</v>
      </c>
      <c r="N14" s="511">
        <f t="shared" si="1"/>
        <v>12345</v>
      </c>
      <c r="O14" s="187"/>
      <c r="P14" s="77"/>
      <c r="Q14" s="109"/>
      <c r="R14" s="109"/>
    </row>
    <row r="15" spans="2:18" x14ac:dyDescent="0.2">
      <c r="B15" s="75"/>
      <c r="C15" s="187"/>
      <c r="D15" s="561"/>
      <c r="E15" s="34"/>
      <c r="F15" s="42"/>
      <c r="G15" s="34"/>
      <c r="H15" s="511">
        <v>0</v>
      </c>
      <c r="I15" s="511">
        <f t="shared" ref="I15:N18" si="2">H15</f>
        <v>0</v>
      </c>
      <c r="J15" s="511">
        <f t="shared" si="2"/>
        <v>0</v>
      </c>
      <c r="K15" s="511">
        <f t="shared" si="2"/>
        <v>0</v>
      </c>
      <c r="L15" s="511">
        <f t="shared" si="2"/>
        <v>0</v>
      </c>
      <c r="M15" s="511">
        <f t="shared" si="2"/>
        <v>0</v>
      </c>
      <c r="N15" s="511">
        <f t="shared" si="2"/>
        <v>0</v>
      </c>
      <c r="O15" s="187"/>
      <c r="P15" s="77"/>
      <c r="Q15" s="109"/>
      <c r="R15" s="109"/>
    </row>
    <row r="16" spans="2:18" x14ac:dyDescent="0.2">
      <c r="B16" s="75"/>
      <c r="C16" s="187"/>
      <c r="D16" s="561"/>
      <c r="E16" s="34"/>
      <c r="F16" s="42"/>
      <c r="G16" s="34"/>
      <c r="H16" s="511">
        <v>0</v>
      </c>
      <c r="I16" s="511">
        <f>H16</f>
        <v>0</v>
      </c>
      <c r="J16" s="511">
        <f t="shared" si="2"/>
        <v>0</v>
      </c>
      <c r="K16" s="511">
        <f t="shared" si="2"/>
        <v>0</v>
      </c>
      <c r="L16" s="511">
        <f t="shared" si="2"/>
        <v>0</v>
      </c>
      <c r="M16" s="511">
        <f t="shared" si="2"/>
        <v>0</v>
      </c>
      <c r="N16" s="511">
        <f t="shared" si="2"/>
        <v>0</v>
      </c>
      <c r="O16" s="187"/>
      <c r="P16" s="77"/>
      <c r="Q16" s="109"/>
      <c r="R16" s="109"/>
    </row>
    <row r="17" spans="2:18" x14ac:dyDescent="0.2">
      <c r="B17" s="75"/>
      <c r="C17" s="187"/>
      <c r="D17" s="554"/>
      <c r="E17" s="34"/>
      <c r="F17" s="42"/>
      <c r="G17" s="34"/>
      <c r="H17" s="511">
        <v>0</v>
      </c>
      <c r="I17" s="511">
        <f t="shared" si="2"/>
        <v>0</v>
      </c>
      <c r="J17" s="511">
        <f t="shared" si="2"/>
        <v>0</v>
      </c>
      <c r="K17" s="511">
        <f t="shared" si="2"/>
        <v>0</v>
      </c>
      <c r="L17" s="511">
        <f t="shared" si="2"/>
        <v>0</v>
      </c>
      <c r="M17" s="511">
        <f t="shared" si="2"/>
        <v>0</v>
      </c>
      <c r="N17" s="511">
        <f t="shared" si="2"/>
        <v>0</v>
      </c>
      <c r="O17" s="218"/>
      <c r="P17" s="77"/>
      <c r="Q17" s="109"/>
      <c r="R17" s="109"/>
    </row>
    <row r="18" spans="2:18" x14ac:dyDescent="0.2">
      <c r="B18" s="75"/>
      <c r="C18" s="187"/>
      <c r="D18" s="554"/>
      <c r="E18" s="34"/>
      <c r="F18" s="42"/>
      <c r="G18" s="34"/>
      <c r="H18" s="511">
        <v>0</v>
      </c>
      <c r="I18" s="511">
        <f t="shared" si="2"/>
        <v>0</v>
      </c>
      <c r="J18" s="511">
        <f t="shared" si="2"/>
        <v>0</v>
      </c>
      <c r="K18" s="511">
        <f t="shared" si="2"/>
        <v>0</v>
      </c>
      <c r="L18" s="511">
        <f t="shared" si="2"/>
        <v>0</v>
      </c>
      <c r="M18" s="511">
        <f t="shared" si="2"/>
        <v>0</v>
      </c>
      <c r="N18" s="511">
        <f t="shared" si="2"/>
        <v>0</v>
      </c>
      <c r="O18" s="218"/>
      <c r="P18" s="77"/>
      <c r="Q18" s="109"/>
      <c r="R18" s="109"/>
    </row>
    <row r="19" spans="2:18" x14ac:dyDescent="0.2">
      <c r="B19" s="75"/>
      <c r="C19" s="187"/>
      <c r="D19" s="34"/>
      <c r="E19" s="34"/>
      <c r="F19" s="182"/>
      <c r="G19" s="34"/>
      <c r="H19" s="520">
        <f t="shared" ref="H19:M19" si="3">SUM(H14:H18)</f>
        <v>12345</v>
      </c>
      <c r="I19" s="520">
        <f t="shared" si="3"/>
        <v>12345</v>
      </c>
      <c r="J19" s="520">
        <f t="shared" si="3"/>
        <v>12345</v>
      </c>
      <c r="K19" s="520">
        <f t="shared" si="3"/>
        <v>12345</v>
      </c>
      <c r="L19" s="520">
        <f t="shared" si="3"/>
        <v>12345</v>
      </c>
      <c r="M19" s="520">
        <f t="shared" si="3"/>
        <v>12345</v>
      </c>
      <c r="N19" s="520">
        <f>SUM(N14:N18)</f>
        <v>12345</v>
      </c>
      <c r="O19" s="187"/>
      <c r="P19" s="77"/>
      <c r="Q19" s="109"/>
      <c r="R19" s="109"/>
    </row>
    <row r="20" spans="2:18" x14ac:dyDescent="0.2">
      <c r="B20" s="75"/>
      <c r="C20" s="187"/>
      <c r="D20" s="34"/>
      <c r="E20" s="34"/>
      <c r="F20" s="182"/>
      <c r="G20" s="34"/>
      <c r="H20" s="1291"/>
      <c r="I20" s="1291"/>
      <c r="J20" s="1291"/>
      <c r="K20" s="1291"/>
      <c r="L20" s="1291"/>
      <c r="M20" s="1291"/>
      <c r="N20" s="1291"/>
      <c r="O20" s="187"/>
      <c r="P20" s="77"/>
      <c r="Q20" s="109"/>
      <c r="R20" s="109"/>
    </row>
    <row r="21" spans="2:18" x14ac:dyDescent="0.2">
      <c r="B21" s="75"/>
      <c r="C21" s="187"/>
      <c r="D21" s="195" t="s">
        <v>477</v>
      </c>
      <c r="E21" s="34"/>
      <c r="F21" s="182"/>
      <c r="G21" s="34"/>
      <c r="H21" s="1292">
        <f>tab!F$4</f>
        <v>2019</v>
      </c>
      <c r="I21" s="1292">
        <f>tab!G$4</f>
        <v>2020</v>
      </c>
      <c r="J21" s="1292">
        <f>tab!H$4</f>
        <v>2021</v>
      </c>
      <c r="K21" s="1292">
        <f>tab!I$4</f>
        <v>2022</v>
      </c>
      <c r="L21" s="1292">
        <f>tab!J$4</f>
        <v>2023</v>
      </c>
      <c r="M21" s="1292">
        <f>tab!K$4</f>
        <v>2024</v>
      </c>
      <c r="N21" s="1292">
        <f>tab!L$4</f>
        <v>2025</v>
      </c>
      <c r="O21" s="187"/>
      <c r="P21" s="77"/>
      <c r="Q21" s="109"/>
      <c r="R21" s="109"/>
    </row>
    <row r="22" spans="2:18" x14ac:dyDescent="0.2">
      <c r="B22" s="75"/>
      <c r="C22" s="187"/>
      <c r="D22" s="561" t="s">
        <v>848</v>
      </c>
      <c r="E22" s="34"/>
      <c r="F22" s="42"/>
      <c r="G22" s="34"/>
      <c r="H22" s="1316">
        <v>1234</v>
      </c>
      <c r="I22" s="1316">
        <f t="shared" ref="I22:N22" si="4">H22</f>
        <v>1234</v>
      </c>
      <c r="J22" s="1316">
        <f t="shared" si="4"/>
        <v>1234</v>
      </c>
      <c r="K22" s="1316">
        <f t="shared" si="4"/>
        <v>1234</v>
      </c>
      <c r="L22" s="1316">
        <f t="shared" si="4"/>
        <v>1234</v>
      </c>
      <c r="M22" s="1316">
        <f t="shared" si="4"/>
        <v>1234</v>
      </c>
      <c r="N22" s="1316">
        <f t="shared" si="4"/>
        <v>1234</v>
      </c>
      <c r="O22" s="187"/>
      <c r="P22" s="77"/>
      <c r="Q22" s="109"/>
      <c r="R22" s="109"/>
    </row>
    <row r="23" spans="2:18" x14ac:dyDescent="0.2">
      <c r="B23" s="75"/>
      <c r="C23" s="187"/>
      <c r="D23" s="554"/>
      <c r="E23" s="34"/>
      <c r="F23" s="42"/>
      <c r="G23" s="34"/>
      <c r="H23" s="1316">
        <v>0</v>
      </c>
      <c r="I23" s="1316">
        <f t="shared" ref="I23:M26" si="5">H23</f>
        <v>0</v>
      </c>
      <c r="J23" s="1316">
        <f t="shared" si="5"/>
        <v>0</v>
      </c>
      <c r="K23" s="1316">
        <f t="shared" si="5"/>
        <v>0</v>
      </c>
      <c r="L23" s="1316">
        <f t="shared" si="5"/>
        <v>0</v>
      </c>
      <c r="M23" s="1316">
        <f t="shared" si="5"/>
        <v>0</v>
      </c>
      <c r="N23" s="1316">
        <f>M23</f>
        <v>0</v>
      </c>
      <c r="O23" s="187"/>
      <c r="P23" s="77"/>
      <c r="Q23" s="109"/>
      <c r="R23" s="109"/>
    </row>
    <row r="24" spans="2:18" x14ac:dyDescent="0.2">
      <c r="B24" s="75"/>
      <c r="C24" s="187"/>
      <c r="D24" s="554"/>
      <c r="E24" s="34"/>
      <c r="F24" s="42"/>
      <c r="G24" s="34"/>
      <c r="H24" s="1316">
        <v>0</v>
      </c>
      <c r="I24" s="1316">
        <f t="shared" si="5"/>
        <v>0</v>
      </c>
      <c r="J24" s="1316">
        <f t="shared" si="5"/>
        <v>0</v>
      </c>
      <c r="K24" s="1316">
        <f t="shared" si="5"/>
        <v>0</v>
      </c>
      <c r="L24" s="1316">
        <f t="shared" si="5"/>
        <v>0</v>
      </c>
      <c r="M24" s="1316">
        <f t="shared" si="5"/>
        <v>0</v>
      </c>
      <c r="N24" s="1316">
        <f>M24</f>
        <v>0</v>
      </c>
      <c r="O24" s="187"/>
      <c r="P24" s="77"/>
      <c r="Q24" s="109"/>
      <c r="R24" s="109"/>
    </row>
    <row r="25" spans="2:18" x14ac:dyDescent="0.2">
      <c r="B25" s="75"/>
      <c r="C25" s="187"/>
      <c r="D25" s="554"/>
      <c r="E25" s="34"/>
      <c r="F25" s="42"/>
      <c r="G25" s="34"/>
      <c r="H25" s="1316">
        <v>0</v>
      </c>
      <c r="I25" s="1316">
        <f t="shared" si="5"/>
        <v>0</v>
      </c>
      <c r="J25" s="1316">
        <f t="shared" si="5"/>
        <v>0</v>
      </c>
      <c r="K25" s="1316">
        <f t="shared" si="5"/>
        <v>0</v>
      </c>
      <c r="L25" s="1316">
        <f t="shared" si="5"/>
        <v>0</v>
      </c>
      <c r="M25" s="1316">
        <f t="shared" si="5"/>
        <v>0</v>
      </c>
      <c r="N25" s="1316">
        <f>M25</f>
        <v>0</v>
      </c>
      <c r="O25" s="187"/>
      <c r="P25" s="77"/>
      <c r="Q25" s="109"/>
      <c r="R25" s="109"/>
    </row>
    <row r="26" spans="2:18" x14ac:dyDescent="0.2">
      <c r="B26" s="75"/>
      <c r="C26" s="187"/>
      <c r="D26" s="554"/>
      <c r="E26" s="34"/>
      <c r="F26" s="42"/>
      <c r="G26" s="34"/>
      <c r="H26" s="1316">
        <v>0</v>
      </c>
      <c r="I26" s="1316">
        <f t="shared" si="5"/>
        <v>0</v>
      </c>
      <c r="J26" s="1316">
        <f t="shared" si="5"/>
        <v>0</v>
      </c>
      <c r="K26" s="1316">
        <f t="shared" si="5"/>
        <v>0</v>
      </c>
      <c r="L26" s="1316">
        <f t="shared" si="5"/>
        <v>0</v>
      </c>
      <c r="M26" s="1316">
        <f t="shared" si="5"/>
        <v>0</v>
      </c>
      <c r="N26" s="1316">
        <f>M26</f>
        <v>0</v>
      </c>
      <c r="O26" s="187"/>
      <c r="P26" s="77"/>
      <c r="Q26" s="109"/>
      <c r="R26" s="109"/>
    </row>
    <row r="27" spans="2:18" x14ac:dyDescent="0.2">
      <c r="B27" s="75"/>
      <c r="C27" s="187"/>
      <c r="D27" s="34"/>
      <c r="E27" s="34"/>
      <c r="F27" s="182"/>
      <c r="G27" s="34"/>
      <c r="H27" s="520">
        <f t="shared" ref="H27:M27" si="6">SUM(H22:H26)</f>
        <v>1234</v>
      </c>
      <c r="I27" s="520">
        <f t="shared" si="6"/>
        <v>1234</v>
      </c>
      <c r="J27" s="520">
        <f t="shared" si="6"/>
        <v>1234</v>
      </c>
      <c r="K27" s="520">
        <f t="shared" si="6"/>
        <v>1234</v>
      </c>
      <c r="L27" s="520">
        <f t="shared" si="6"/>
        <v>1234</v>
      </c>
      <c r="M27" s="520">
        <f t="shared" si="6"/>
        <v>1234</v>
      </c>
      <c r="N27" s="520">
        <f>SUM(N22:N26)</f>
        <v>1234</v>
      </c>
      <c r="O27" s="187"/>
      <c r="P27" s="77"/>
      <c r="Q27" s="109"/>
      <c r="R27" s="109"/>
    </row>
    <row r="28" spans="2:18" x14ac:dyDescent="0.2">
      <c r="B28" s="75"/>
      <c r="C28" s="81"/>
      <c r="D28" s="39"/>
      <c r="E28" s="39"/>
      <c r="F28" s="40"/>
      <c r="G28" s="39"/>
      <c r="H28" s="1293"/>
      <c r="I28" s="1293"/>
      <c r="J28" s="1293"/>
      <c r="K28" s="1293"/>
      <c r="L28" s="1293"/>
      <c r="M28" s="1293"/>
      <c r="N28" s="1293"/>
      <c r="O28" s="81"/>
      <c r="P28" s="77"/>
      <c r="Q28" s="109"/>
      <c r="R28" s="109"/>
    </row>
    <row r="29" spans="2:18" x14ac:dyDescent="0.2">
      <c r="B29" s="75"/>
      <c r="C29" s="1297"/>
      <c r="D29" s="1294"/>
      <c r="E29" s="1294"/>
      <c r="F29" s="1295"/>
      <c r="G29" s="1294"/>
      <c r="H29" s="1296"/>
      <c r="I29" s="1296"/>
      <c r="J29" s="1296"/>
      <c r="K29" s="1296"/>
      <c r="L29" s="1296"/>
      <c r="M29" s="1296"/>
      <c r="N29" s="1296"/>
      <c r="O29" s="1298"/>
      <c r="P29" s="77"/>
      <c r="Q29" s="109"/>
      <c r="R29" s="109"/>
    </row>
    <row r="30" spans="2:18" x14ac:dyDescent="0.2">
      <c r="B30" s="75"/>
      <c r="C30" s="187"/>
      <c r="D30" s="195"/>
      <c r="E30" s="187"/>
      <c r="F30" s="70"/>
      <c r="G30" s="187"/>
      <c r="H30" s="70"/>
      <c r="I30" s="70"/>
      <c r="J30" s="70"/>
      <c r="K30" s="70"/>
      <c r="L30" s="70"/>
      <c r="M30" s="70"/>
      <c r="N30" s="70"/>
      <c r="O30" s="187"/>
      <c r="P30" s="77"/>
      <c r="Q30" s="109"/>
      <c r="R30" s="109"/>
    </row>
    <row r="31" spans="2:18" x14ac:dyDescent="0.2">
      <c r="B31" s="75"/>
      <c r="C31" s="187"/>
      <c r="D31" s="1290" t="str">
        <f>pers!D163</f>
        <v>programma 2</v>
      </c>
      <c r="E31" s="187"/>
      <c r="F31" s="70"/>
      <c r="G31" s="187"/>
      <c r="H31" s="70"/>
      <c r="I31" s="70"/>
      <c r="J31" s="70"/>
      <c r="K31" s="70"/>
      <c r="L31" s="70"/>
      <c r="M31" s="70"/>
      <c r="N31" s="70"/>
      <c r="O31" s="187"/>
      <c r="P31" s="77"/>
      <c r="Q31" s="109"/>
      <c r="R31" s="109"/>
    </row>
    <row r="32" spans="2:18" x14ac:dyDescent="0.2">
      <c r="B32" s="75"/>
      <c r="C32" s="187"/>
      <c r="D32" s="185"/>
      <c r="E32" s="187"/>
      <c r="F32" s="70"/>
      <c r="G32" s="187"/>
      <c r="H32" s="70"/>
      <c r="I32" s="70"/>
      <c r="J32" s="70"/>
      <c r="K32" s="70"/>
      <c r="L32" s="70"/>
      <c r="M32" s="70"/>
      <c r="N32" s="70"/>
      <c r="O32" s="187"/>
      <c r="P32" s="77"/>
      <c r="Q32" s="109"/>
      <c r="R32" s="109"/>
    </row>
    <row r="33" spans="2:18" x14ac:dyDescent="0.2">
      <c r="B33" s="75"/>
      <c r="C33" s="187"/>
      <c r="D33" s="195" t="s">
        <v>476</v>
      </c>
      <c r="E33" s="187"/>
      <c r="F33" s="70"/>
      <c r="G33" s="187"/>
      <c r="H33" s="65" t="str">
        <f>H13</f>
        <v>2019/20</v>
      </c>
      <c r="I33" s="65" t="str">
        <f t="shared" ref="I33:N33" si="7">I13</f>
        <v>2020/21</v>
      </c>
      <c r="J33" s="65" t="str">
        <f t="shared" si="7"/>
        <v>2021/22</v>
      </c>
      <c r="K33" s="65" t="str">
        <f t="shared" si="7"/>
        <v>2022/23</v>
      </c>
      <c r="L33" s="65" t="str">
        <f t="shared" si="7"/>
        <v>2023/24</v>
      </c>
      <c r="M33" s="65" t="str">
        <f t="shared" si="7"/>
        <v>2024/25</v>
      </c>
      <c r="N33" s="65" t="str">
        <f t="shared" si="7"/>
        <v>2025/26</v>
      </c>
      <c r="O33" s="187"/>
      <c r="P33" s="77"/>
      <c r="Q33" s="109"/>
      <c r="R33" s="109"/>
    </row>
    <row r="34" spans="2:18" x14ac:dyDescent="0.2">
      <c r="B34" s="75"/>
      <c r="C34" s="187"/>
      <c r="D34" s="561"/>
      <c r="E34" s="34"/>
      <c r="F34" s="42"/>
      <c r="G34" s="34"/>
      <c r="H34" s="511">
        <v>0</v>
      </c>
      <c r="I34" s="511">
        <f t="shared" ref="I34:N34" si="8">H34</f>
        <v>0</v>
      </c>
      <c r="J34" s="511">
        <f t="shared" si="8"/>
        <v>0</v>
      </c>
      <c r="K34" s="511">
        <f t="shared" si="8"/>
        <v>0</v>
      </c>
      <c r="L34" s="511">
        <f t="shared" si="8"/>
        <v>0</v>
      </c>
      <c r="M34" s="511">
        <f t="shared" si="8"/>
        <v>0</v>
      </c>
      <c r="N34" s="511">
        <f t="shared" si="8"/>
        <v>0</v>
      </c>
      <c r="O34" s="187"/>
      <c r="P34" s="77"/>
      <c r="Q34" s="109"/>
      <c r="R34" s="109"/>
    </row>
    <row r="35" spans="2:18" x14ac:dyDescent="0.2">
      <c r="B35" s="75"/>
      <c r="C35" s="187"/>
      <c r="D35" s="561"/>
      <c r="E35" s="34"/>
      <c r="F35" s="42"/>
      <c r="G35" s="34"/>
      <c r="H35" s="511">
        <v>0</v>
      </c>
      <c r="I35" s="511">
        <f t="shared" ref="I35:N35" si="9">H35</f>
        <v>0</v>
      </c>
      <c r="J35" s="511">
        <f t="shared" si="9"/>
        <v>0</v>
      </c>
      <c r="K35" s="511">
        <f t="shared" si="9"/>
        <v>0</v>
      </c>
      <c r="L35" s="511">
        <f t="shared" si="9"/>
        <v>0</v>
      </c>
      <c r="M35" s="511">
        <f t="shared" si="9"/>
        <v>0</v>
      </c>
      <c r="N35" s="511">
        <f t="shared" si="9"/>
        <v>0</v>
      </c>
      <c r="O35" s="187"/>
      <c r="P35" s="77"/>
      <c r="Q35" s="109"/>
      <c r="R35" s="109"/>
    </row>
    <row r="36" spans="2:18" x14ac:dyDescent="0.2">
      <c r="B36" s="75"/>
      <c r="C36" s="187"/>
      <c r="D36" s="561"/>
      <c r="E36" s="34"/>
      <c r="F36" s="42"/>
      <c r="G36" s="34"/>
      <c r="H36" s="511">
        <v>0</v>
      </c>
      <c r="I36" s="511">
        <f t="shared" ref="I36:N36" si="10">H36</f>
        <v>0</v>
      </c>
      <c r="J36" s="511">
        <f t="shared" si="10"/>
        <v>0</v>
      </c>
      <c r="K36" s="511">
        <f t="shared" si="10"/>
        <v>0</v>
      </c>
      <c r="L36" s="511">
        <f t="shared" si="10"/>
        <v>0</v>
      </c>
      <c r="M36" s="511">
        <f t="shared" si="10"/>
        <v>0</v>
      </c>
      <c r="N36" s="511">
        <f t="shared" si="10"/>
        <v>0</v>
      </c>
      <c r="O36" s="187"/>
      <c r="P36" s="77"/>
      <c r="Q36" s="109"/>
      <c r="R36" s="109"/>
    </row>
    <row r="37" spans="2:18" x14ac:dyDescent="0.2">
      <c r="B37" s="75"/>
      <c r="C37" s="187"/>
      <c r="D37" s="561"/>
      <c r="E37" s="34"/>
      <c r="F37" s="42"/>
      <c r="G37" s="34"/>
      <c r="H37" s="511">
        <v>0</v>
      </c>
      <c r="I37" s="511">
        <f t="shared" ref="I37:N37" si="11">H37</f>
        <v>0</v>
      </c>
      <c r="J37" s="511">
        <f t="shared" si="11"/>
        <v>0</v>
      </c>
      <c r="K37" s="511">
        <f t="shared" si="11"/>
        <v>0</v>
      </c>
      <c r="L37" s="511">
        <f t="shared" si="11"/>
        <v>0</v>
      </c>
      <c r="M37" s="511">
        <f t="shared" si="11"/>
        <v>0</v>
      </c>
      <c r="N37" s="511">
        <f t="shared" si="11"/>
        <v>0</v>
      </c>
      <c r="O37" s="218"/>
      <c r="P37" s="77"/>
      <c r="Q37" s="109"/>
      <c r="R37" s="109"/>
    </row>
    <row r="38" spans="2:18" x14ac:dyDescent="0.2">
      <c r="B38" s="75"/>
      <c r="C38" s="187"/>
      <c r="D38" s="554"/>
      <c r="E38" s="34"/>
      <c r="F38" s="42"/>
      <c r="G38" s="34"/>
      <c r="H38" s="511">
        <v>0</v>
      </c>
      <c r="I38" s="511">
        <f t="shared" ref="I38:N38" si="12">H38</f>
        <v>0</v>
      </c>
      <c r="J38" s="511">
        <f t="shared" si="12"/>
        <v>0</v>
      </c>
      <c r="K38" s="511">
        <f t="shared" si="12"/>
        <v>0</v>
      </c>
      <c r="L38" s="511">
        <f t="shared" si="12"/>
        <v>0</v>
      </c>
      <c r="M38" s="511">
        <f t="shared" si="12"/>
        <v>0</v>
      </c>
      <c r="N38" s="511">
        <f t="shared" si="12"/>
        <v>0</v>
      </c>
      <c r="O38" s="218"/>
      <c r="P38" s="77"/>
      <c r="Q38" s="109"/>
      <c r="R38" s="109"/>
    </row>
    <row r="39" spans="2:18" x14ac:dyDescent="0.2">
      <c r="B39" s="75"/>
      <c r="C39" s="187"/>
      <c r="D39" s="34"/>
      <c r="E39" s="34"/>
      <c r="F39" s="182"/>
      <c r="G39" s="34"/>
      <c r="H39" s="520">
        <f t="shared" ref="H39:M39" si="13">SUM(H34:H38)</f>
        <v>0</v>
      </c>
      <c r="I39" s="520">
        <f t="shared" si="13"/>
        <v>0</v>
      </c>
      <c r="J39" s="520">
        <f t="shared" si="13"/>
        <v>0</v>
      </c>
      <c r="K39" s="520">
        <f t="shared" si="13"/>
        <v>0</v>
      </c>
      <c r="L39" s="520">
        <f t="shared" si="13"/>
        <v>0</v>
      </c>
      <c r="M39" s="520">
        <f t="shared" si="13"/>
        <v>0</v>
      </c>
      <c r="N39" s="520">
        <f>SUM(N34:N38)</f>
        <v>0</v>
      </c>
      <c r="O39" s="187"/>
      <c r="P39" s="77"/>
      <c r="Q39" s="109"/>
      <c r="R39" s="109"/>
    </row>
    <row r="40" spans="2:18" x14ac:dyDescent="0.2">
      <c r="B40" s="75"/>
      <c r="C40" s="187"/>
      <c r="D40" s="34"/>
      <c r="E40" s="34"/>
      <c r="F40" s="182"/>
      <c r="G40" s="34"/>
      <c r="H40" s="1291"/>
      <c r="I40" s="1291"/>
      <c r="J40" s="1291"/>
      <c r="K40" s="1291"/>
      <c r="L40" s="1291"/>
      <c r="M40" s="1291"/>
      <c r="N40" s="1291"/>
      <c r="O40" s="187"/>
      <c r="P40" s="77"/>
      <c r="Q40" s="109"/>
      <c r="R40" s="109"/>
    </row>
    <row r="41" spans="2:18" x14ac:dyDescent="0.2">
      <c r="B41" s="75"/>
      <c r="C41" s="187"/>
      <c r="D41" s="195" t="s">
        <v>477</v>
      </c>
      <c r="E41" s="34"/>
      <c r="F41" s="182"/>
      <c r="G41" s="34"/>
      <c r="H41" s="1292">
        <f>H21</f>
        <v>2019</v>
      </c>
      <c r="I41" s="1292">
        <f t="shared" ref="I41:N41" si="14">I21</f>
        <v>2020</v>
      </c>
      <c r="J41" s="1292">
        <f t="shared" si="14"/>
        <v>2021</v>
      </c>
      <c r="K41" s="1292">
        <f t="shared" si="14"/>
        <v>2022</v>
      </c>
      <c r="L41" s="1292">
        <f t="shared" si="14"/>
        <v>2023</v>
      </c>
      <c r="M41" s="1292">
        <f t="shared" si="14"/>
        <v>2024</v>
      </c>
      <c r="N41" s="1292">
        <f t="shared" si="14"/>
        <v>2025</v>
      </c>
      <c r="O41" s="187"/>
      <c r="P41" s="77"/>
      <c r="Q41" s="109"/>
      <c r="R41" s="109"/>
    </row>
    <row r="42" spans="2:18" x14ac:dyDescent="0.2">
      <c r="B42" s="75"/>
      <c r="C42" s="187"/>
      <c r="D42" s="561"/>
      <c r="E42" s="34"/>
      <c r="F42" s="42"/>
      <c r="G42" s="34"/>
      <c r="H42" s="1316">
        <v>0</v>
      </c>
      <c r="I42" s="1316">
        <f t="shared" ref="I42:N42" si="15">H42</f>
        <v>0</v>
      </c>
      <c r="J42" s="1316">
        <f t="shared" si="15"/>
        <v>0</v>
      </c>
      <c r="K42" s="1316">
        <f t="shared" si="15"/>
        <v>0</v>
      </c>
      <c r="L42" s="1316">
        <f t="shared" si="15"/>
        <v>0</v>
      </c>
      <c r="M42" s="1316">
        <f t="shared" si="15"/>
        <v>0</v>
      </c>
      <c r="N42" s="1316">
        <f t="shared" si="15"/>
        <v>0</v>
      </c>
      <c r="O42" s="187"/>
      <c r="P42" s="77"/>
      <c r="Q42" s="109"/>
      <c r="R42" s="109"/>
    </row>
    <row r="43" spans="2:18" x14ac:dyDescent="0.2">
      <c r="B43" s="75"/>
      <c r="C43" s="187"/>
      <c r="D43" s="554"/>
      <c r="E43" s="34"/>
      <c r="F43" s="42"/>
      <c r="G43" s="34"/>
      <c r="H43" s="1316">
        <v>0</v>
      </c>
      <c r="I43" s="1316">
        <f t="shared" ref="I43:M46" si="16">H43</f>
        <v>0</v>
      </c>
      <c r="J43" s="1316">
        <f t="shared" si="16"/>
        <v>0</v>
      </c>
      <c r="K43" s="1316">
        <f t="shared" si="16"/>
        <v>0</v>
      </c>
      <c r="L43" s="1316">
        <f t="shared" si="16"/>
        <v>0</v>
      </c>
      <c r="M43" s="1316">
        <f t="shared" si="16"/>
        <v>0</v>
      </c>
      <c r="N43" s="1316">
        <f>M43</f>
        <v>0</v>
      </c>
      <c r="O43" s="187"/>
      <c r="P43" s="77"/>
      <c r="Q43" s="109"/>
      <c r="R43" s="109"/>
    </row>
    <row r="44" spans="2:18" x14ac:dyDescent="0.2">
      <c r="B44" s="75"/>
      <c r="C44" s="187"/>
      <c r="D44" s="554"/>
      <c r="E44" s="34"/>
      <c r="F44" s="42"/>
      <c r="G44" s="34"/>
      <c r="H44" s="1316">
        <v>0</v>
      </c>
      <c r="I44" s="1316">
        <f t="shared" si="16"/>
        <v>0</v>
      </c>
      <c r="J44" s="1316">
        <f t="shared" si="16"/>
        <v>0</v>
      </c>
      <c r="K44" s="1316">
        <f t="shared" si="16"/>
        <v>0</v>
      </c>
      <c r="L44" s="1316">
        <f t="shared" si="16"/>
        <v>0</v>
      </c>
      <c r="M44" s="1316">
        <f t="shared" si="16"/>
        <v>0</v>
      </c>
      <c r="N44" s="1316">
        <f>M44</f>
        <v>0</v>
      </c>
      <c r="O44" s="187"/>
      <c r="P44" s="77"/>
      <c r="Q44" s="109"/>
      <c r="R44" s="109"/>
    </row>
    <row r="45" spans="2:18" x14ac:dyDescent="0.2">
      <c r="B45" s="75"/>
      <c r="C45" s="187"/>
      <c r="D45" s="554"/>
      <c r="E45" s="34"/>
      <c r="F45" s="42"/>
      <c r="G45" s="34"/>
      <c r="H45" s="1316">
        <v>0</v>
      </c>
      <c r="I45" s="1316">
        <f t="shared" si="16"/>
        <v>0</v>
      </c>
      <c r="J45" s="1316">
        <f t="shared" si="16"/>
        <v>0</v>
      </c>
      <c r="K45" s="1316">
        <f t="shared" si="16"/>
        <v>0</v>
      </c>
      <c r="L45" s="1316">
        <f t="shared" si="16"/>
        <v>0</v>
      </c>
      <c r="M45" s="1316">
        <f t="shared" si="16"/>
        <v>0</v>
      </c>
      <c r="N45" s="1316">
        <f>M45</f>
        <v>0</v>
      </c>
      <c r="O45" s="187"/>
      <c r="P45" s="77"/>
      <c r="Q45" s="109"/>
      <c r="R45" s="109"/>
    </row>
    <row r="46" spans="2:18" x14ac:dyDescent="0.2">
      <c r="B46" s="75"/>
      <c r="C46" s="187"/>
      <c r="D46" s="554"/>
      <c r="E46" s="34"/>
      <c r="F46" s="42"/>
      <c r="G46" s="34"/>
      <c r="H46" s="1316">
        <v>0</v>
      </c>
      <c r="I46" s="1316">
        <f t="shared" si="16"/>
        <v>0</v>
      </c>
      <c r="J46" s="1316">
        <f t="shared" si="16"/>
        <v>0</v>
      </c>
      <c r="K46" s="1316">
        <f t="shared" si="16"/>
        <v>0</v>
      </c>
      <c r="L46" s="1316">
        <f t="shared" si="16"/>
        <v>0</v>
      </c>
      <c r="M46" s="1316">
        <f t="shared" si="16"/>
        <v>0</v>
      </c>
      <c r="N46" s="1316">
        <f>M46</f>
        <v>0</v>
      </c>
      <c r="O46" s="187"/>
      <c r="P46" s="77"/>
      <c r="Q46" s="109"/>
      <c r="R46" s="109"/>
    </row>
    <row r="47" spans="2:18" x14ac:dyDescent="0.2">
      <c r="B47" s="75"/>
      <c r="C47" s="187"/>
      <c r="D47" s="34"/>
      <c r="E47" s="34"/>
      <c r="F47" s="182"/>
      <c r="G47" s="34"/>
      <c r="H47" s="520">
        <f t="shared" ref="H47:N47" si="17">SUM(H42:H46)</f>
        <v>0</v>
      </c>
      <c r="I47" s="520">
        <f t="shared" si="17"/>
        <v>0</v>
      </c>
      <c r="J47" s="520">
        <f t="shared" si="17"/>
        <v>0</v>
      </c>
      <c r="K47" s="520">
        <f t="shared" si="17"/>
        <v>0</v>
      </c>
      <c r="L47" s="520">
        <f t="shared" si="17"/>
        <v>0</v>
      </c>
      <c r="M47" s="520">
        <f t="shared" si="17"/>
        <v>0</v>
      </c>
      <c r="N47" s="520">
        <f t="shared" si="17"/>
        <v>0</v>
      </c>
      <c r="O47" s="187"/>
      <c r="P47" s="77"/>
      <c r="Q47" s="109"/>
      <c r="R47" s="109"/>
    </row>
    <row r="48" spans="2:18" x14ac:dyDescent="0.2">
      <c r="B48" s="75"/>
      <c r="C48" s="81"/>
      <c r="D48" s="39"/>
      <c r="E48" s="39"/>
      <c r="F48" s="40"/>
      <c r="G48" s="39"/>
      <c r="H48" s="1293"/>
      <c r="I48" s="1293"/>
      <c r="J48" s="1293"/>
      <c r="K48" s="1293"/>
      <c r="L48" s="1293"/>
      <c r="M48" s="1293"/>
      <c r="N48" s="1293"/>
      <c r="O48" s="81"/>
      <c r="P48" s="77"/>
      <c r="Q48" s="109"/>
      <c r="R48" s="109"/>
    </row>
    <row r="49" spans="2:18" x14ac:dyDescent="0.2">
      <c r="B49" s="75"/>
      <c r="C49" s="1297"/>
      <c r="D49" s="1294"/>
      <c r="E49" s="1294"/>
      <c r="F49" s="1295"/>
      <c r="G49" s="1294"/>
      <c r="H49" s="1296"/>
      <c r="I49" s="1296"/>
      <c r="J49" s="1296"/>
      <c r="K49" s="1296"/>
      <c r="L49" s="1296"/>
      <c r="M49" s="1296"/>
      <c r="N49" s="1296"/>
      <c r="O49" s="1298"/>
      <c r="P49" s="77"/>
      <c r="Q49" s="109"/>
      <c r="R49" s="109"/>
    </row>
    <row r="50" spans="2:18" x14ac:dyDescent="0.2">
      <c r="B50" s="75"/>
      <c r="C50" s="187"/>
      <c r="D50" s="195"/>
      <c r="E50" s="187"/>
      <c r="F50" s="70"/>
      <c r="G50" s="187"/>
      <c r="H50" s="70"/>
      <c r="I50" s="70"/>
      <c r="J50" s="70"/>
      <c r="K50" s="70"/>
      <c r="L50" s="70"/>
      <c r="M50" s="70"/>
      <c r="N50" s="70"/>
      <c r="O50" s="187"/>
      <c r="P50" s="77"/>
      <c r="Q50" s="109"/>
      <c r="R50" s="109"/>
    </row>
    <row r="51" spans="2:18" x14ac:dyDescent="0.2">
      <c r="B51" s="75"/>
      <c r="C51" s="187"/>
      <c r="D51" s="1290" t="str">
        <f>pers!D164</f>
        <v>programma 3</v>
      </c>
      <c r="E51" s="187"/>
      <c r="F51" s="70"/>
      <c r="G51" s="187"/>
      <c r="H51" s="70"/>
      <c r="I51" s="70"/>
      <c r="J51" s="70"/>
      <c r="K51" s="70"/>
      <c r="L51" s="70"/>
      <c r="M51" s="70"/>
      <c r="N51" s="70"/>
      <c r="O51" s="187"/>
      <c r="P51" s="77"/>
      <c r="Q51" s="109"/>
      <c r="R51" s="109"/>
    </row>
    <row r="52" spans="2:18" x14ac:dyDescent="0.2">
      <c r="B52" s="75"/>
      <c r="C52" s="187"/>
      <c r="D52" s="185"/>
      <c r="E52" s="187"/>
      <c r="F52" s="70"/>
      <c r="G52" s="187"/>
      <c r="H52" s="70"/>
      <c r="I52" s="70"/>
      <c r="J52" s="70"/>
      <c r="K52" s="70"/>
      <c r="L52" s="70"/>
      <c r="M52" s="70"/>
      <c r="N52" s="70"/>
      <c r="O52" s="187"/>
      <c r="P52" s="77"/>
      <c r="Q52" s="109"/>
      <c r="R52" s="109"/>
    </row>
    <row r="53" spans="2:18" x14ac:dyDescent="0.2">
      <c r="B53" s="75"/>
      <c r="C53" s="187"/>
      <c r="D53" s="195" t="s">
        <v>476</v>
      </c>
      <c r="E53" s="187"/>
      <c r="F53" s="70"/>
      <c r="G53" s="187"/>
      <c r="H53" s="65" t="str">
        <f>H13</f>
        <v>2019/20</v>
      </c>
      <c r="I53" s="65" t="str">
        <f t="shared" ref="I53:N53" si="18">I13</f>
        <v>2020/21</v>
      </c>
      <c r="J53" s="65" t="str">
        <f t="shared" si="18"/>
        <v>2021/22</v>
      </c>
      <c r="K53" s="65" t="str">
        <f t="shared" si="18"/>
        <v>2022/23</v>
      </c>
      <c r="L53" s="65" t="str">
        <f t="shared" si="18"/>
        <v>2023/24</v>
      </c>
      <c r="M53" s="65" t="str">
        <f t="shared" si="18"/>
        <v>2024/25</v>
      </c>
      <c r="N53" s="65" t="str">
        <f t="shared" si="18"/>
        <v>2025/26</v>
      </c>
      <c r="O53" s="187"/>
      <c r="P53" s="77"/>
      <c r="Q53" s="109"/>
      <c r="R53" s="109"/>
    </row>
    <row r="54" spans="2:18" x14ac:dyDescent="0.2">
      <c r="B54" s="75"/>
      <c r="C54" s="187"/>
      <c r="D54" s="561"/>
      <c r="E54" s="34"/>
      <c r="F54" s="42"/>
      <c r="G54" s="34"/>
      <c r="H54" s="511">
        <v>0</v>
      </c>
      <c r="I54" s="511">
        <f t="shared" ref="I54:N54" si="19">H54</f>
        <v>0</v>
      </c>
      <c r="J54" s="511">
        <f t="shared" si="19"/>
        <v>0</v>
      </c>
      <c r="K54" s="511">
        <f t="shared" si="19"/>
        <v>0</v>
      </c>
      <c r="L54" s="511">
        <f t="shared" si="19"/>
        <v>0</v>
      </c>
      <c r="M54" s="511">
        <f t="shared" si="19"/>
        <v>0</v>
      </c>
      <c r="N54" s="511">
        <f t="shared" si="19"/>
        <v>0</v>
      </c>
      <c r="O54" s="187"/>
      <c r="P54" s="77"/>
      <c r="Q54" s="109"/>
      <c r="R54" s="109"/>
    </row>
    <row r="55" spans="2:18" x14ac:dyDescent="0.2">
      <c r="B55" s="75"/>
      <c r="C55" s="187"/>
      <c r="D55" s="554"/>
      <c r="E55" s="34"/>
      <c r="F55" s="42"/>
      <c r="G55" s="34"/>
      <c r="H55" s="511">
        <v>0</v>
      </c>
      <c r="I55" s="511">
        <f t="shared" ref="I55:N55" si="20">H55</f>
        <v>0</v>
      </c>
      <c r="J55" s="511">
        <f t="shared" si="20"/>
        <v>0</v>
      </c>
      <c r="K55" s="511">
        <f t="shared" si="20"/>
        <v>0</v>
      </c>
      <c r="L55" s="511">
        <f t="shared" si="20"/>
        <v>0</v>
      </c>
      <c r="M55" s="511">
        <f t="shared" si="20"/>
        <v>0</v>
      </c>
      <c r="N55" s="511">
        <f t="shared" si="20"/>
        <v>0</v>
      </c>
      <c r="O55" s="187"/>
      <c r="P55" s="77"/>
      <c r="Q55" s="109"/>
      <c r="R55" s="109"/>
    </row>
    <row r="56" spans="2:18" x14ac:dyDescent="0.2">
      <c r="B56" s="75"/>
      <c r="C56" s="187"/>
      <c r="D56" s="554"/>
      <c r="E56" s="34"/>
      <c r="F56" s="42"/>
      <c r="G56" s="34"/>
      <c r="H56" s="511">
        <v>0</v>
      </c>
      <c r="I56" s="511">
        <f t="shared" ref="I56:N56" si="21">H56</f>
        <v>0</v>
      </c>
      <c r="J56" s="511">
        <f t="shared" si="21"/>
        <v>0</v>
      </c>
      <c r="K56" s="511">
        <f t="shared" si="21"/>
        <v>0</v>
      </c>
      <c r="L56" s="511">
        <f t="shared" si="21"/>
        <v>0</v>
      </c>
      <c r="M56" s="511">
        <f t="shared" si="21"/>
        <v>0</v>
      </c>
      <c r="N56" s="511">
        <f t="shared" si="21"/>
        <v>0</v>
      </c>
      <c r="O56" s="187"/>
      <c r="P56" s="77"/>
      <c r="Q56" s="109"/>
      <c r="R56" s="109"/>
    </row>
    <row r="57" spans="2:18" x14ac:dyDescent="0.2">
      <c r="B57" s="75"/>
      <c r="C57" s="187"/>
      <c r="D57" s="554"/>
      <c r="E57" s="34"/>
      <c r="F57" s="42"/>
      <c r="G57" s="34"/>
      <c r="H57" s="511">
        <v>0</v>
      </c>
      <c r="I57" s="511">
        <f t="shared" ref="I57:N57" si="22">H57</f>
        <v>0</v>
      </c>
      <c r="J57" s="511">
        <f t="shared" si="22"/>
        <v>0</v>
      </c>
      <c r="K57" s="511">
        <f t="shared" si="22"/>
        <v>0</v>
      </c>
      <c r="L57" s="511">
        <f t="shared" si="22"/>
        <v>0</v>
      </c>
      <c r="M57" s="511">
        <f t="shared" si="22"/>
        <v>0</v>
      </c>
      <c r="N57" s="511">
        <f t="shared" si="22"/>
        <v>0</v>
      </c>
      <c r="O57" s="218"/>
      <c r="P57" s="77"/>
      <c r="Q57" s="109"/>
      <c r="R57" s="109"/>
    </row>
    <row r="58" spans="2:18" x14ac:dyDescent="0.2">
      <c r="B58" s="75"/>
      <c r="C58" s="187"/>
      <c r="D58" s="554"/>
      <c r="E58" s="34"/>
      <c r="F58" s="42"/>
      <c r="G58" s="34"/>
      <c r="H58" s="511">
        <v>0</v>
      </c>
      <c r="I58" s="511">
        <f t="shared" ref="I58:N58" si="23">H58</f>
        <v>0</v>
      </c>
      <c r="J58" s="511">
        <f t="shared" si="23"/>
        <v>0</v>
      </c>
      <c r="K58" s="511">
        <f t="shared" si="23"/>
        <v>0</v>
      </c>
      <c r="L58" s="511">
        <f t="shared" si="23"/>
        <v>0</v>
      </c>
      <c r="M58" s="511">
        <f t="shared" si="23"/>
        <v>0</v>
      </c>
      <c r="N58" s="511">
        <f t="shared" si="23"/>
        <v>0</v>
      </c>
      <c r="O58" s="218"/>
      <c r="P58" s="77"/>
      <c r="Q58" s="109"/>
      <c r="R58" s="109"/>
    </row>
    <row r="59" spans="2:18" x14ac:dyDescent="0.2">
      <c r="B59" s="75"/>
      <c r="C59" s="187"/>
      <c r="D59" s="34"/>
      <c r="E59" s="34"/>
      <c r="F59" s="182"/>
      <c r="G59" s="34"/>
      <c r="H59" s="520">
        <f t="shared" ref="H59:M59" si="24">SUM(H54:H58)</f>
        <v>0</v>
      </c>
      <c r="I59" s="520">
        <f t="shared" si="24"/>
        <v>0</v>
      </c>
      <c r="J59" s="520">
        <f t="shared" si="24"/>
        <v>0</v>
      </c>
      <c r="K59" s="520">
        <f t="shared" si="24"/>
        <v>0</v>
      </c>
      <c r="L59" s="520">
        <f t="shared" si="24"/>
        <v>0</v>
      </c>
      <c r="M59" s="520">
        <f t="shared" si="24"/>
        <v>0</v>
      </c>
      <c r="N59" s="520">
        <f>SUM(N54:N58)</f>
        <v>0</v>
      </c>
      <c r="O59" s="187"/>
      <c r="P59" s="77"/>
      <c r="Q59" s="109"/>
      <c r="R59" s="109"/>
    </row>
    <row r="60" spans="2:18" x14ac:dyDescent="0.2">
      <c r="B60" s="75"/>
      <c r="C60" s="187"/>
      <c r="D60" s="34"/>
      <c r="E60" s="34"/>
      <c r="F60" s="182"/>
      <c r="G60" s="34"/>
      <c r="H60" s="1291"/>
      <c r="I60" s="1291"/>
      <c r="J60" s="1291"/>
      <c r="K60" s="1291"/>
      <c r="L60" s="1291"/>
      <c r="M60" s="1291"/>
      <c r="N60" s="1291"/>
      <c r="O60" s="187"/>
      <c r="P60" s="77"/>
      <c r="Q60" s="109"/>
      <c r="R60" s="109"/>
    </row>
    <row r="61" spans="2:18" x14ac:dyDescent="0.2">
      <c r="B61" s="75"/>
      <c r="C61" s="187"/>
      <c r="D61" s="195" t="s">
        <v>477</v>
      </c>
      <c r="E61" s="34"/>
      <c r="F61" s="182"/>
      <c r="G61" s="34"/>
      <c r="H61" s="1292">
        <f>H21</f>
        <v>2019</v>
      </c>
      <c r="I61" s="1292">
        <f t="shared" ref="I61:N61" si="25">I21</f>
        <v>2020</v>
      </c>
      <c r="J61" s="1292">
        <f t="shared" si="25"/>
        <v>2021</v>
      </c>
      <c r="K61" s="1292">
        <f t="shared" si="25"/>
        <v>2022</v>
      </c>
      <c r="L61" s="1292">
        <f t="shared" si="25"/>
        <v>2023</v>
      </c>
      <c r="M61" s="1292">
        <f t="shared" si="25"/>
        <v>2024</v>
      </c>
      <c r="N61" s="1292">
        <f t="shared" si="25"/>
        <v>2025</v>
      </c>
      <c r="O61" s="187"/>
      <c r="P61" s="77"/>
      <c r="Q61" s="109"/>
      <c r="R61" s="109"/>
    </row>
    <row r="62" spans="2:18" x14ac:dyDescent="0.2">
      <c r="B62" s="75"/>
      <c r="C62" s="187"/>
      <c r="D62" s="561"/>
      <c r="E62" s="34"/>
      <c r="F62" s="42"/>
      <c r="G62" s="34"/>
      <c r="H62" s="1316">
        <v>0</v>
      </c>
      <c r="I62" s="1316">
        <f t="shared" ref="I62:N62" si="26">H62</f>
        <v>0</v>
      </c>
      <c r="J62" s="1316">
        <f t="shared" si="26"/>
        <v>0</v>
      </c>
      <c r="K62" s="1316">
        <f t="shared" si="26"/>
        <v>0</v>
      </c>
      <c r="L62" s="1316">
        <f t="shared" si="26"/>
        <v>0</v>
      </c>
      <c r="M62" s="1316">
        <f t="shared" si="26"/>
        <v>0</v>
      </c>
      <c r="N62" s="1316">
        <f t="shared" si="26"/>
        <v>0</v>
      </c>
      <c r="O62" s="187"/>
      <c r="P62" s="77"/>
      <c r="Q62" s="109"/>
      <c r="R62" s="109"/>
    </row>
    <row r="63" spans="2:18" x14ac:dyDescent="0.2">
      <c r="B63" s="75"/>
      <c r="C63" s="187"/>
      <c r="D63" s="554"/>
      <c r="E63" s="34"/>
      <c r="F63" s="42"/>
      <c r="G63" s="34"/>
      <c r="H63" s="1316">
        <v>0</v>
      </c>
      <c r="I63" s="1316">
        <f t="shared" ref="I63:M66" si="27">H63</f>
        <v>0</v>
      </c>
      <c r="J63" s="1316">
        <f t="shared" si="27"/>
        <v>0</v>
      </c>
      <c r="K63" s="1316">
        <f t="shared" si="27"/>
        <v>0</v>
      </c>
      <c r="L63" s="1316">
        <f t="shared" si="27"/>
        <v>0</v>
      </c>
      <c r="M63" s="1316">
        <f t="shared" si="27"/>
        <v>0</v>
      </c>
      <c r="N63" s="1316">
        <f>M63</f>
        <v>0</v>
      </c>
      <c r="O63" s="187"/>
      <c r="P63" s="77"/>
      <c r="Q63" s="109"/>
      <c r="R63" s="109"/>
    </row>
    <row r="64" spans="2:18" x14ac:dyDescent="0.2">
      <c r="B64" s="75"/>
      <c r="C64" s="187"/>
      <c r="D64" s="554"/>
      <c r="E64" s="34"/>
      <c r="F64" s="42"/>
      <c r="G64" s="34"/>
      <c r="H64" s="1316">
        <v>0</v>
      </c>
      <c r="I64" s="1316">
        <f t="shared" si="27"/>
        <v>0</v>
      </c>
      <c r="J64" s="1316">
        <f t="shared" si="27"/>
        <v>0</v>
      </c>
      <c r="K64" s="1316">
        <f t="shared" si="27"/>
        <v>0</v>
      </c>
      <c r="L64" s="1316">
        <f t="shared" si="27"/>
        <v>0</v>
      </c>
      <c r="M64" s="1316">
        <f t="shared" si="27"/>
        <v>0</v>
      </c>
      <c r="N64" s="1316">
        <f>M64</f>
        <v>0</v>
      </c>
      <c r="O64" s="187"/>
      <c r="P64" s="77"/>
      <c r="Q64" s="109"/>
      <c r="R64" s="109"/>
    </row>
    <row r="65" spans="2:18" x14ac:dyDescent="0.2">
      <c r="B65" s="75"/>
      <c r="C65" s="187"/>
      <c r="D65" s="554"/>
      <c r="E65" s="34"/>
      <c r="F65" s="42"/>
      <c r="G65" s="34"/>
      <c r="H65" s="1316">
        <v>0</v>
      </c>
      <c r="I65" s="1316">
        <f t="shared" si="27"/>
        <v>0</v>
      </c>
      <c r="J65" s="1316">
        <f t="shared" si="27"/>
        <v>0</v>
      </c>
      <c r="K65" s="1316">
        <f t="shared" si="27"/>
        <v>0</v>
      </c>
      <c r="L65" s="1316">
        <f t="shared" si="27"/>
        <v>0</v>
      </c>
      <c r="M65" s="1316">
        <f t="shared" si="27"/>
        <v>0</v>
      </c>
      <c r="N65" s="1316">
        <f>M65</f>
        <v>0</v>
      </c>
      <c r="O65" s="187"/>
      <c r="P65" s="77"/>
      <c r="Q65" s="109"/>
      <c r="R65" s="109"/>
    </row>
    <row r="66" spans="2:18" x14ac:dyDescent="0.2">
      <c r="B66" s="75"/>
      <c r="C66" s="187"/>
      <c r="D66" s="554"/>
      <c r="E66" s="34"/>
      <c r="F66" s="42"/>
      <c r="G66" s="34"/>
      <c r="H66" s="1316">
        <v>0</v>
      </c>
      <c r="I66" s="1316">
        <f t="shared" si="27"/>
        <v>0</v>
      </c>
      <c r="J66" s="1316">
        <f t="shared" si="27"/>
        <v>0</v>
      </c>
      <c r="K66" s="1316">
        <f t="shared" si="27"/>
        <v>0</v>
      </c>
      <c r="L66" s="1316">
        <f t="shared" si="27"/>
        <v>0</v>
      </c>
      <c r="M66" s="1316">
        <f t="shared" si="27"/>
        <v>0</v>
      </c>
      <c r="N66" s="1316">
        <f>M66</f>
        <v>0</v>
      </c>
      <c r="O66" s="187"/>
      <c r="P66" s="77"/>
      <c r="Q66" s="109"/>
      <c r="R66" s="109"/>
    </row>
    <row r="67" spans="2:18" x14ac:dyDescent="0.2">
      <c r="B67" s="75"/>
      <c r="C67" s="187"/>
      <c r="D67" s="34"/>
      <c r="E67" s="34"/>
      <c r="F67" s="182"/>
      <c r="G67" s="34"/>
      <c r="H67" s="520">
        <f t="shared" ref="H67:N67" si="28">SUM(H62:H66)</f>
        <v>0</v>
      </c>
      <c r="I67" s="520">
        <f t="shared" si="28"/>
        <v>0</v>
      </c>
      <c r="J67" s="520">
        <f t="shared" si="28"/>
        <v>0</v>
      </c>
      <c r="K67" s="520">
        <f t="shared" si="28"/>
        <v>0</v>
      </c>
      <c r="L67" s="520">
        <f t="shared" si="28"/>
        <v>0</v>
      </c>
      <c r="M67" s="520">
        <f t="shared" si="28"/>
        <v>0</v>
      </c>
      <c r="N67" s="520">
        <f t="shared" si="28"/>
        <v>0</v>
      </c>
      <c r="O67" s="187"/>
      <c r="P67" s="77"/>
      <c r="Q67" s="109"/>
      <c r="R67" s="109"/>
    </row>
    <row r="68" spans="2:18" x14ac:dyDescent="0.2">
      <c r="B68" s="75"/>
      <c r="C68" s="81"/>
      <c r="D68" s="39"/>
      <c r="E68" s="39"/>
      <c r="F68" s="40"/>
      <c r="G68" s="39"/>
      <c r="H68" s="1293"/>
      <c r="I68" s="1293"/>
      <c r="J68" s="1293"/>
      <c r="K68" s="1293"/>
      <c r="L68" s="1293"/>
      <c r="M68" s="1293"/>
      <c r="N68" s="1293"/>
      <c r="O68" s="81"/>
      <c r="P68" s="77"/>
      <c r="Q68" s="109"/>
      <c r="R68" s="109"/>
    </row>
    <row r="69" spans="2:18" x14ac:dyDescent="0.2">
      <c r="B69" s="75"/>
      <c r="C69" s="1297"/>
      <c r="D69" s="1294"/>
      <c r="E69" s="1294"/>
      <c r="F69" s="1295"/>
      <c r="G69" s="1294"/>
      <c r="H69" s="1296"/>
      <c r="I69" s="1296"/>
      <c r="J69" s="1296"/>
      <c r="K69" s="1296"/>
      <c r="L69" s="1296"/>
      <c r="M69" s="1296"/>
      <c r="N69" s="1296"/>
      <c r="O69" s="1298"/>
      <c r="P69" s="77"/>
      <c r="Q69" s="109"/>
      <c r="R69" s="109"/>
    </row>
    <row r="70" spans="2:18" x14ac:dyDescent="0.2">
      <c r="B70" s="75"/>
      <c r="C70" s="187"/>
      <c r="D70" s="195"/>
      <c r="E70" s="187"/>
      <c r="F70" s="70"/>
      <c r="G70" s="187"/>
      <c r="H70" s="70"/>
      <c r="I70" s="70"/>
      <c r="J70" s="70"/>
      <c r="K70" s="70"/>
      <c r="L70" s="70"/>
      <c r="M70" s="70"/>
      <c r="N70" s="70"/>
      <c r="O70" s="187"/>
      <c r="P70" s="77"/>
      <c r="Q70" s="109"/>
      <c r="R70" s="109"/>
    </row>
    <row r="71" spans="2:18" x14ac:dyDescent="0.2">
      <c r="B71" s="75"/>
      <c r="C71" s="187"/>
      <c r="D71" s="1290" t="str">
        <f>pers!D165</f>
        <v>programma 4</v>
      </c>
      <c r="E71" s="187"/>
      <c r="F71" s="70"/>
      <c r="G71" s="187"/>
      <c r="H71" s="70"/>
      <c r="I71" s="70"/>
      <c r="J71" s="70"/>
      <c r="K71" s="70"/>
      <c r="L71" s="70"/>
      <c r="M71" s="70"/>
      <c r="N71" s="70"/>
      <c r="O71" s="187"/>
      <c r="P71" s="77"/>
      <c r="Q71" s="109"/>
      <c r="R71" s="109"/>
    </row>
    <row r="72" spans="2:18" x14ac:dyDescent="0.2">
      <c r="B72" s="75"/>
      <c r="C72" s="187"/>
      <c r="D72" s="185"/>
      <c r="E72" s="187"/>
      <c r="F72" s="70"/>
      <c r="G72" s="187"/>
      <c r="H72" s="70"/>
      <c r="I72" s="70"/>
      <c r="J72" s="70"/>
      <c r="K72" s="70"/>
      <c r="L72" s="70"/>
      <c r="M72" s="70"/>
      <c r="N72" s="70"/>
      <c r="O72" s="187"/>
      <c r="P72" s="77"/>
      <c r="Q72" s="109"/>
      <c r="R72" s="109"/>
    </row>
    <row r="73" spans="2:18" x14ac:dyDescent="0.2">
      <c r="B73" s="75"/>
      <c r="C73" s="187"/>
      <c r="D73" s="195" t="s">
        <v>476</v>
      </c>
      <c r="E73" s="187"/>
      <c r="F73" s="70"/>
      <c r="G73" s="187"/>
      <c r="H73" s="65" t="str">
        <f>H13</f>
        <v>2019/20</v>
      </c>
      <c r="I73" s="65" t="str">
        <f t="shared" ref="I73:N73" si="29">I13</f>
        <v>2020/21</v>
      </c>
      <c r="J73" s="65" t="str">
        <f t="shared" si="29"/>
        <v>2021/22</v>
      </c>
      <c r="K73" s="65" t="str">
        <f t="shared" si="29"/>
        <v>2022/23</v>
      </c>
      <c r="L73" s="65" t="str">
        <f t="shared" si="29"/>
        <v>2023/24</v>
      </c>
      <c r="M73" s="65" t="str">
        <f t="shared" si="29"/>
        <v>2024/25</v>
      </c>
      <c r="N73" s="65" t="str">
        <f t="shared" si="29"/>
        <v>2025/26</v>
      </c>
      <c r="O73" s="187"/>
      <c r="P73" s="77"/>
      <c r="Q73" s="109"/>
      <c r="R73" s="109"/>
    </row>
    <row r="74" spans="2:18" x14ac:dyDescent="0.2">
      <c r="B74" s="75"/>
      <c r="C74" s="187"/>
      <c r="D74" s="561"/>
      <c r="E74" s="34"/>
      <c r="F74" s="42"/>
      <c r="G74" s="34"/>
      <c r="H74" s="511">
        <v>0</v>
      </c>
      <c r="I74" s="511">
        <f t="shared" ref="I74:N74" si="30">H74</f>
        <v>0</v>
      </c>
      <c r="J74" s="511">
        <f t="shared" si="30"/>
        <v>0</v>
      </c>
      <c r="K74" s="511">
        <f t="shared" si="30"/>
        <v>0</v>
      </c>
      <c r="L74" s="511">
        <f t="shared" si="30"/>
        <v>0</v>
      </c>
      <c r="M74" s="511">
        <f t="shared" si="30"/>
        <v>0</v>
      </c>
      <c r="N74" s="511">
        <f t="shared" si="30"/>
        <v>0</v>
      </c>
      <c r="O74" s="187"/>
      <c r="P74" s="77"/>
      <c r="Q74" s="109"/>
      <c r="R74" s="109"/>
    </row>
    <row r="75" spans="2:18" x14ac:dyDescent="0.2">
      <c r="B75" s="75"/>
      <c r="C75" s="187"/>
      <c r="D75" s="554"/>
      <c r="E75" s="34"/>
      <c r="F75" s="42"/>
      <c r="G75" s="34"/>
      <c r="H75" s="511">
        <v>0</v>
      </c>
      <c r="I75" s="511">
        <f t="shared" ref="I75:N75" si="31">H75</f>
        <v>0</v>
      </c>
      <c r="J75" s="511">
        <f t="shared" si="31"/>
        <v>0</v>
      </c>
      <c r="K75" s="511">
        <f t="shared" si="31"/>
        <v>0</v>
      </c>
      <c r="L75" s="511">
        <f t="shared" si="31"/>
        <v>0</v>
      </c>
      <c r="M75" s="511">
        <f t="shared" si="31"/>
        <v>0</v>
      </c>
      <c r="N75" s="511">
        <f t="shared" si="31"/>
        <v>0</v>
      </c>
      <c r="O75" s="187"/>
      <c r="P75" s="77"/>
      <c r="Q75" s="109"/>
      <c r="R75" s="109"/>
    </row>
    <row r="76" spans="2:18" x14ac:dyDescent="0.2">
      <c r="B76" s="75"/>
      <c r="C76" s="187"/>
      <c r="D76" s="554"/>
      <c r="E76" s="34"/>
      <c r="F76" s="42"/>
      <c r="G76" s="34"/>
      <c r="H76" s="511">
        <v>0</v>
      </c>
      <c r="I76" s="511">
        <f t="shared" ref="I76:N76" si="32">H76</f>
        <v>0</v>
      </c>
      <c r="J76" s="511">
        <f t="shared" si="32"/>
        <v>0</v>
      </c>
      <c r="K76" s="511">
        <f t="shared" si="32"/>
        <v>0</v>
      </c>
      <c r="L76" s="511">
        <f t="shared" si="32"/>
        <v>0</v>
      </c>
      <c r="M76" s="511">
        <f t="shared" si="32"/>
        <v>0</v>
      </c>
      <c r="N76" s="511">
        <f t="shared" si="32"/>
        <v>0</v>
      </c>
      <c r="O76" s="187"/>
      <c r="P76" s="77"/>
      <c r="Q76" s="109"/>
      <c r="R76" s="109"/>
    </row>
    <row r="77" spans="2:18" x14ac:dyDescent="0.2">
      <c r="B77" s="75"/>
      <c r="C77" s="187"/>
      <c r="D77" s="554"/>
      <c r="E77" s="34"/>
      <c r="F77" s="42"/>
      <c r="G77" s="34"/>
      <c r="H77" s="511">
        <v>0</v>
      </c>
      <c r="I77" s="511">
        <f t="shared" ref="I77:N77" si="33">H77</f>
        <v>0</v>
      </c>
      <c r="J77" s="511">
        <f t="shared" si="33"/>
        <v>0</v>
      </c>
      <c r="K77" s="511">
        <f t="shared" si="33"/>
        <v>0</v>
      </c>
      <c r="L77" s="511">
        <f t="shared" si="33"/>
        <v>0</v>
      </c>
      <c r="M77" s="511">
        <f t="shared" si="33"/>
        <v>0</v>
      </c>
      <c r="N77" s="511">
        <f t="shared" si="33"/>
        <v>0</v>
      </c>
      <c r="O77" s="218"/>
      <c r="P77" s="77"/>
      <c r="Q77" s="109"/>
      <c r="R77" s="109"/>
    </row>
    <row r="78" spans="2:18" x14ac:dyDescent="0.2">
      <c r="B78" s="75"/>
      <c r="C78" s="187"/>
      <c r="D78" s="554"/>
      <c r="E78" s="34"/>
      <c r="F78" s="42"/>
      <c r="G78" s="34"/>
      <c r="H78" s="511">
        <v>0</v>
      </c>
      <c r="I78" s="511">
        <f t="shared" ref="I78:N78" si="34">H78</f>
        <v>0</v>
      </c>
      <c r="J78" s="511">
        <f t="shared" si="34"/>
        <v>0</v>
      </c>
      <c r="K78" s="511">
        <f t="shared" si="34"/>
        <v>0</v>
      </c>
      <c r="L78" s="511">
        <f t="shared" si="34"/>
        <v>0</v>
      </c>
      <c r="M78" s="511">
        <f t="shared" si="34"/>
        <v>0</v>
      </c>
      <c r="N78" s="511">
        <f t="shared" si="34"/>
        <v>0</v>
      </c>
      <c r="O78" s="218"/>
      <c r="P78" s="77"/>
      <c r="Q78" s="109"/>
      <c r="R78" s="109"/>
    </row>
    <row r="79" spans="2:18" x14ac:dyDescent="0.2">
      <c r="B79" s="75"/>
      <c r="C79" s="187"/>
      <c r="D79" s="34"/>
      <c r="E79" s="34"/>
      <c r="F79" s="182"/>
      <c r="G79" s="34"/>
      <c r="H79" s="520">
        <f t="shared" ref="H79:M79" si="35">SUM(H74:H78)</f>
        <v>0</v>
      </c>
      <c r="I79" s="520">
        <f t="shared" si="35"/>
        <v>0</v>
      </c>
      <c r="J79" s="520">
        <f t="shared" si="35"/>
        <v>0</v>
      </c>
      <c r="K79" s="520">
        <f t="shared" si="35"/>
        <v>0</v>
      </c>
      <c r="L79" s="520">
        <f t="shared" si="35"/>
        <v>0</v>
      </c>
      <c r="M79" s="520">
        <f t="shared" si="35"/>
        <v>0</v>
      </c>
      <c r="N79" s="520">
        <f>SUM(N74:N78)</f>
        <v>0</v>
      </c>
      <c r="O79" s="187"/>
      <c r="P79" s="77"/>
      <c r="Q79" s="109"/>
      <c r="R79" s="109"/>
    </row>
    <row r="80" spans="2:18" x14ac:dyDescent="0.2">
      <c r="B80" s="75"/>
      <c r="C80" s="187"/>
      <c r="D80" s="34"/>
      <c r="E80" s="34"/>
      <c r="F80" s="182"/>
      <c r="G80" s="34"/>
      <c r="H80" s="1291"/>
      <c r="I80" s="1291"/>
      <c r="J80" s="1291"/>
      <c r="K80" s="1291"/>
      <c r="L80" s="1291"/>
      <c r="M80" s="1291"/>
      <c r="N80" s="1291"/>
      <c r="O80" s="187"/>
      <c r="P80" s="77"/>
      <c r="Q80" s="109"/>
      <c r="R80" s="109"/>
    </row>
    <row r="81" spans="2:18" x14ac:dyDescent="0.2">
      <c r="B81" s="75"/>
      <c r="C81" s="187"/>
      <c r="D81" s="195" t="s">
        <v>477</v>
      </c>
      <c r="E81" s="34"/>
      <c r="F81" s="182"/>
      <c r="G81" s="34"/>
      <c r="H81" s="1292">
        <f>H21</f>
        <v>2019</v>
      </c>
      <c r="I81" s="1292">
        <f t="shared" ref="I81:N81" si="36">I21</f>
        <v>2020</v>
      </c>
      <c r="J81" s="1292">
        <f t="shared" si="36"/>
        <v>2021</v>
      </c>
      <c r="K81" s="1292">
        <f t="shared" si="36"/>
        <v>2022</v>
      </c>
      <c r="L81" s="1292">
        <f t="shared" si="36"/>
        <v>2023</v>
      </c>
      <c r="M81" s="1292">
        <f t="shared" si="36"/>
        <v>2024</v>
      </c>
      <c r="N81" s="1292">
        <f t="shared" si="36"/>
        <v>2025</v>
      </c>
      <c r="O81" s="187"/>
      <c r="P81" s="77"/>
      <c r="Q81" s="109"/>
      <c r="R81" s="109"/>
    </row>
    <row r="82" spans="2:18" x14ac:dyDescent="0.2">
      <c r="B82" s="75"/>
      <c r="C82" s="187"/>
      <c r="D82" s="561"/>
      <c r="E82" s="34"/>
      <c r="F82" s="42"/>
      <c r="G82" s="34"/>
      <c r="H82" s="1316">
        <v>0</v>
      </c>
      <c r="I82" s="1316">
        <f t="shared" ref="I82:N82" si="37">H82</f>
        <v>0</v>
      </c>
      <c r="J82" s="1316">
        <f t="shared" si="37"/>
        <v>0</v>
      </c>
      <c r="K82" s="1316">
        <f t="shared" si="37"/>
        <v>0</v>
      </c>
      <c r="L82" s="1316">
        <f t="shared" si="37"/>
        <v>0</v>
      </c>
      <c r="M82" s="1316">
        <f t="shared" si="37"/>
        <v>0</v>
      </c>
      <c r="N82" s="1316">
        <f t="shared" si="37"/>
        <v>0</v>
      </c>
      <c r="O82" s="187"/>
      <c r="P82" s="77"/>
      <c r="Q82" s="109"/>
      <c r="R82" s="109"/>
    </row>
    <row r="83" spans="2:18" x14ac:dyDescent="0.2">
      <c r="B83" s="75"/>
      <c r="C83" s="187"/>
      <c r="D83" s="554"/>
      <c r="E83" s="34"/>
      <c r="F83" s="42"/>
      <c r="G83" s="34"/>
      <c r="H83" s="1316">
        <v>0</v>
      </c>
      <c r="I83" s="1316">
        <f t="shared" ref="I83:M86" si="38">H83</f>
        <v>0</v>
      </c>
      <c r="J83" s="1316">
        <f t="shared" si="38"/>
        <v>0</v>
      </c>
      <c r="K83" s="1316">
        <f t="shared" si="38"/>
        <v>0</v>
      </c>
      <c r="L83" s="1316">
        <f t="shared" si="38"/>
        <v>0</v>
      </c>
      <c r="M83" s="1316">
        <f t="shared" si="38"/>
        <v>0</v>
      </c>
      <c r="N83" s="1316">
        <f>M83</f>
        <v>0</v>
      </c>
      <c r="O83" s="187"/>
      <c r="P83" s="77"/>
      <c r="Q83" s="109"/>
      <c r="R83" s="109"/>
    </row>
    <row r="84" spans="2:18" x14ac:dyDescent="0.2">
      <c r="B84" s="75"/>
      <c r="C84" s="187"/>
      <c r="D84" s="554"/>
      <c r="E84" s="34"/>
      <c r="F84" s="42"/>
      <c r="G84" s="34"/>
      <c r="H84" s="1316">
        <v>0</v>
      </c>
      <c r="I84" s="1316">
        <f t="shared" si="38"/>
        <v>0</v>
      </c>
      <c r="J84" s="1316">
        <f t="shared" si="38"/>
        <v>0</v>
      </c>
      <c r="K84" s="1316">
        <f t="shared" si="38"/>
        <v>0</v>
      </c>
      <c r="L84" s="1316">
        <f t="shared" si="38"/>
        <v>0</v>
      </c>
      <c r="M84" s="1316">
        <f t="shared" si="38"/>
        <v>0</v>
      </c>
      <c r="N84" s="1316">
        <f>M84</f>
        <v>0</v>
      </c>
      <c r="O84" s="187"/>
      <c r="P84" s="77"/>
      <c r="Q84" s="109"/>
      <c r="R84" s="109"/>
    </row>
    <row r="85" spans="2:18" x14ac:dyDescent="0.2">
      <c r="B85" s="75"/>
      <c r="C85" s="187"/>
      <c r="D85" s="554"/>
      <c r="E85" s="34"/>
      <c r="F85" s="42"/>
      <c r="G85" s="34"/>
      <c r="H85" s="1316">
        <v>0</v>
      </c>
      <c r="I85" s="1316">
        <f t="shared" si="38"/>
        <v>0</v>
      </c>
      <c r="J85" s="1316">
        <f t="shared" si="38"/>
        <v>0</v>
      </c>
      <c r="K85" s="1316">
        <f t="shared" si="38"/>
        <v>0</v>
      </c>
      <c r="L85" s="1316">
        <f t="shared" si="38"/>
        <v>0</v>
      </c>
      <c r="M85" s="1316">
        <f t="shared" si="38"/>
        <v>0</v>
      </c>
      <c r="N85" s="1316">
        <f>M85</f>
        <v>0</v>
      </c>
      <c r="O85" s="187"/>
      <c r="P85" s="77"/>
      <c r="Q85" s="109"/>
      <c r="R85" s="109"/>
    </row>
    <row r="86" spans="2:18" x14ac:dyDescent="0.2">
      <c r="B86" s="75"/>
      <c r="C86" s="187"/>
      <c r="D86" s="554"/>
      <c r="E86" s="34"/>
      <c r="F86" s="42"/>
      <c r="G86" s="34"/>
      <c r="H86" s="1316">
        <v>0</v>
      </c>
      <c r="I86" s="1316">
        <f t="shared" si="38"/>
        <v>0</v>
      </c>
      <c r="J86" s="1316">
        <f t="shared" si="38"/>
        <v>0</v>
      </c>
      <c r="K86" s="1316">
        <f t="shared" si="38"/>
        <v>0</v>
      </c>
      <c r="L86" s="1316">
        <f t="shared" si="38"/>
        <v>0</v>
      </c>
      <c r="M86" s="1316">
        <f t="shared" si="38"/>
        <v>0</v>
      </c>
      <c r="N86" s="1316">
        <f>M86</f>
        <v>0</v>
      </c>
      <c r="O86" s="187"/>
      <c r="P86" s="77"/>
      <c r="Q86" s="109"/>
      <c r="R86" s="109"/>
    </row>
    <row r="87" spans="2:18" x14ac:dyDescent="0.2">
      <c r="B87" s="75"/>
      <c r="C87" s="187"/>
      <c r="D87" s="34"/>
      <c r="E87" s="34"/>
      <c r="F87" s="182"/>
      <c r="G87" s="34"/>
      <c r="H87" s="520">
        <f t="shared" ref="H87:N87" si="39">SUM(H82:H86)</f>
        <v>0</v>
      </c>
      <c r="I87" s="520">
        <f t="shared" si="39"/>
        <v>0</v>
      </c>
      <c r="J87" s="520">
        <f t="shared" si="39"/>
        <v>0</v>
      </c>
      <c r="K87" s="520">
        <f t="shared" si="39"/>
        <v>0</v>
      </c>
      <c r="L87" s="520">
        <f t="shared" si="39"/>
        <v>0</v>
      </c>
      <c r="M87" s="520">
        <f t="shared" si="39"/>
        <v>0</v>
      </c>
      <c r="N87" s="520">
        <f t="shared" si="39"/>
        <v>0</v>
      </c>
      <c r="O87" s="187"/>
      <c r="P87" s="77"/>
      <c r="Q87" s="109"/>
      <c r="R87" s="109"/>
    </row>
    <row r="88" spans="2:18" x14ac:dyDescent="0.2">
      <c r="B88" s="75"/>
      <c r="C88" s="81"/>
      <c r="D88" s="39"/>
      <c r="E88" s="39"/>
      <c r="F88" s="40"/>
      <c r="G88" s="39"/>
      <c r="H88" s="1293"/>
      <c r="I88" s="1293"/>
      <c r="J88" s="1293"/>
      <c r="K88" s="1293"/>
      <c r="L88" s="1293"/>
      <c r="M88" s="1293"/>
      <c r="N88" s="1293"/>
      <c r="O88" s="81"/>
      <c r="P88" s="77"/>
      <c r="Q88" s="109"/>
      <c r="R88" s="109"/>
    </row>
    <row r="89" spans="2:18" x14ac:dyDescent="0.2">
      <c r="B89" s="75"/>
      <c r="C89" s="1297"/>
      <c r="D89" s="1294"/>
      <c r="E89" s="1294"/>
      <c r="F89" s="1295"/>
      <c r="G89" s="1294"/>
      <c r="H89" s="1296"/>
      <c r="I89" s="1296"/>
      <c r="J89" s="1296"/>
      <c r="K89" s="1296"/>
      <c r="L89" s="1296"/>
      <c r="M89" s="1296"/>
      <c r="N89" s="1296"/>
      <c r="O89" s="1298"/>
      <c r="P89" s="77"/>
      <c r="Q89" s="109"/>
      <c r="R89" s="109"/>
    </row>
    <row r="90" spans="2:18" x14ac:dyDescent="0.2">
      <c r="B90" s="75"/>
      <c r="C90" s="187"/>
      <c r="D90" s="195"/>
      <c r="E90" s="187"/>
      <c r="F90" s="70"/>
      <c r="G90" s="187"/>
      <c r="H90" s="70"/>
      <c r="I90" s="70"/>
      <c r="J90" s="70"/>
      <c r="K90" s="70"/>
      <c r="L90" s="70"/>
      <c r="M90" s="70"/>
      <c r="N90" s="70"/>
      <c r="O90" s="187"/>
      <c r="P90" s="77"/>
      <c r="Q90" s="109"/>
      <c r="R90" s="109"/>
    </row>
    <row r="91" spans="2:18" x14ac:dyDescent="0.2">
      <c r="B91" s="75"/>
      <c r="C91" s="187"/>
      <c r="D91" s="1290" t="str">
        <f>pers!D166</f>
        <v>programma 5</v>
      </c>
      <c r="E91" s="187"/>
      <c r="F91" s="70"/>
      <c r="G91" s="187"/>
      <c r="H91" s="70"/>
      <c r="I91" s="70"/>
      <c r="J91" s="70"/>
      <c r="K91" s="70"/>
      <c r="L91" s="70"/>
      <c r="M91" s="70"/>
      <c r="N91" s="70"/>
      <c r="O91" s="187"/>
      <c r="P91" s="77"/>
      <c r="Q91" s="109"/>
      <c r="R91" s="109"/>
    </row>
    <row r="92" spans="2:18" x14ac:dyDescent="0.2">
      <c r="B92" s="75"/>
      <c r="C92" s="187"/>
      <c r="D92" s="185"/>
      <c r="E92" s="187"/>
      <c r="F92" s="70"/>
      <c r="G92" s="187"/>
      <c r="H92" s="70"/>
      <c r="I92" s="70"/>
      <c r="J92" s="70"/>
      <c r="K92" s="70"/>
      <c r="L92" s="70"/>
      <c r="M92" s="70"/>
      <c r="N92" s="70"/>
      <c r="O92" s="187"/>
      <c r="P92" s="77"/>
      <c r="Q92" s="109"/>
      <c r="R92" s="109"/>
    </row>
    <row r="93" spans="2:18" x14ac:dyDescent="0.2">
      <c r="B93" s="75"/>
      <c r="C93" s="187"/>
      <c r="D93" s="195" t="s">
        <v>476</v>
      </c>
      <c r="E93" s="187"/>
      <c r="F93" s="70"/>
      <c r="G93" s="187"/>
      <c r="H93" s="65" t="str">
        <f>H13</f>
        <v>2019/20</v>
      </c>
      <c r="I93" s="65" t="str">
        <f t="shared" ref="I93:N93" si="40">I13</f>
        <v>2020/21</v>
      </c>
      <c r="J93" s="65" t="str">
        <f t="shared" si="40"/>
        <v>2021/22</v>
      </c>
      <c r="K93" s="65" t="str">
        <f t="shared" si="40"/>
        <v>2022/23</v>
      </c>
      <c r="L93" s="65" t="str">
        <f t="shared" si="40"/>
        <v>2023/24</v>
      </c>
      <c r="M93" s="65" t="str">
        <f t="shared" si="40"/>
        <v>2024/25</v>
      </c>
      <c r="N93" s="65" t="str">
        <f t="shared" si="40"/>
        <v>2025/26</v>
      </c>
      <c r="O93" s="187"/>
      <c r="P93" s="77"/>
      <c r="Q93" s="109"/>
      <c r="R93" s="109"/>
    </row>
    <row r="94" spans="2:18" x14ac:dyDescent="0.2">
      <c r="B94" s="75"/>
      <c r="C94" s="187"/>
      <c r="D94" s="561"/>
      <c r="E94" s="34"/>
      <c r="F94" s="42"/>
      <c r="G94" s="34"/>
      <c r="H94" s="511">
        <v>0</v>
      </c>
      <c r="I94" s="511">
        <f t="shared" ref="I94:N94" si="41">H94</f>
        <v>0</v>
      </c>
      <c r="J94" s="511">
        <f t="shared" si="41"/>
        <v>0</v>
      </c>
      <c r="K94" s="511">
        <f t="shared" si="41"/>
        <v>0</v>
      </c>
      <c r="L94" s="511">
        <f t="shared" si="41"/>
        <v>0</v>
      </c>
      <c r="M94" s="511">
        <f t="shared" si="41"/>
        <v>0</v>
      </c>
      <c r="N94" s="511">
        <f t="shared" si="41"/>
        <v>0</v>
      </c>
      <c r="O94" s="187"/>
      <c r="P94" s="77"/>
      <c r="Q94" s="109"/>
      <c r="R94" s="109"/>
    </row>
    <row r="95" spans="2:18" x14ac:dyDescent="0.2">
      <c r="B95" s="75"/>
      <c r="C95" s="187"/>
      <c r="D95" s="554"/>
      <c r="E95" s="34"/>
      <c r="F95" s="42"/>
      <c r="G95" s="34"/>
      <c r="H95" s="511">
        <v>0</v>
      </c>
      <c r="I95" s="511">
        <f t="shared" ref="I95:N95" si="42">H95</f>
        <v>0</v>
      </c>
      <c r="J95" s="511">
        <f t="shared" si="42"/>
        <v>0</v>
      </c>
      <c r="K95" s="511">
        <f t="shared" si="42"/>
        <v>0</v>
      </c>
      <c r="L95" s="511">
        <f t="shared" si="42"/>
        <v>0</v>
      </c>
      <c r="M95" s="511">
        <f t="shared" si="42"/>
        <v>0</v>
      </c>
      <c r="N95" s="511">
        <f t="shared" si="42"/>
        <v>0</v>
      </c>
      <c r="O95" s="187"/>
      <c r="P95" s="77"/>
      <c r="Q95" s="109"/>
      <c r="R95" s="109"/>
    </row>
    <row r="96" spans="2:18" x14ac:dyDescent="0.2">
      <c r="B96" s="75"/>
      <c r="C96" s="187"/>
      <c r="D96" s="554"/>
      <c r="E96" s="34"/>
      <c r="F96" s="42"/>
      <c r="G96" s="34"/>
      <c r="H96" s="511">
        <v>0</v>
      </c>
      <c r="I96" s="511">
        <f t="shared" ref="I96:N96" si="43">H96</f>
        <v>0</v>
      </c>
      <c r="J96" s="511">
        <f t="shared" si="43"/>
        <v>0</v>
      </c>
      <c r="K96" s="511">
        <f t="shared" si="43"/>
        <v>0</v>
      </c>
      <c r="L96" s="511">
        <f t="shared" si="43"/>
        <v>0</v>
      </c>
      <c r="M96" s="511">
        <f t="shared" si="43"/>
        <v>0</v>
      </c>
      <c r="N96" s="511">
        <f t="shared" si="43"/>
        <v>0</v>
      </c>
      <c r="O96" s="187"/>
      <c r="P96" s="77"/>
      <c r="Q96" s="109"/>
      <c r="R96" s="109"/>
    </row>
    <row r="97" spans="2:18" x14ac:dyDescent="0.2">
      <c r="B97" s="75"/>
      <c r="C97" s="187"/>
      <c r="D97" s="554"/>
      <c r="E97" s="34"/>
      <c r="F97" s="42"/>
      <c r="G97" s="34"/>
      <c r="H97" s="511">
        <v>0</v>
      </c>
      <c r="I97" s="511">
        <f t="shared" ref="I97:N97" si="44">H97</f>
        <v>0</v>
      </c>
      <c r="J97" s="511">
        <f t="shared" si="44"/>
        <v>0</v>
      </c>
      <c r="K97" s="511">
        <f t="shared" si="44"/>
        <v>0</v>
      </c>
      <c r="L97" s="511">
        <f t="shared" si="44"/>
        <v>0</v>
      </c>
      <c r="M97" s="511">
        <f t="shared" si="44"/>
        <v>0</v>
      </c>
      <c r="N97" s="511">
        <f t="shared" si="44"/>
        <v>0</v>
      </c>
      <c r="O97" s="218"/>
      <c r="P97" s="77"/>
      <c r="Q97" s="109"/>
      <c r="R97" s="109"/>
    </row>
    <row r="98" spans="2:18" x14ac:dyDescent="0.2">
      <c r="B98" s="75"/>
      <c r="C98" s="187"/>
      <c r="D98" s="554"/>
      <c r="E98" s="34"/>
      <c r="F98" s="42"/>
      <c r="G98" s="34"/>
      <c r="H98" s="511">
        <v>0</v>
      </c>
      <c r="I98" s="511">
        <f t="shared" ref="I98:N98" si="45">H98</f>
        <v>0</v>
      </c>
      <c r="J98" s="511">
        <f t="shared" si="45"/>
        <v>0</v>
      </c>
      <c r="K98" s="511">
        <f t="shared" si="45"/>
        <v>0</v>
      </c>
      <c r="L98" s="511">
        <f t="shared" si="45"/>
        <v>0</v>
      </c>
      <c r="M98" s="511">
        <f t="shared" si="45"/>
        <v>0</v>
      </c>
      <c r="N98" s="511">
        <f t="shared" si="45"/>
        <v>0</v>
      </c>
      <c r="O98" s="218"/>
      <c r="P98" s="77"/>
      <c r="Q98" s="109"/>
      <c r="R98" s="109"/>
    </row>
    <row r="99" spans="2:18" x14ac:dyDescent="0.2">
      <c r="B99" s="1307"/>
      <c r="C99" s="187"/>
      <c r="D99" s="34"/>
      <c r="E99" s="34"/>
      <c r="F99" s="182"/>
      <c r="G99" s="34"/>
      <c r="H99" s="520">
        <f t="shared" ref="H99:M99" si="46">SUM(H94:H98)</f>
        <v>0</v>
      </c>
      <c r="I99" s="520">
        <f t="shared" si="46"/>
        <v>0</v>
      </c>
      <c r="J99" s="520">
        <f t="shared" si="46"/>
        <v>0</v>
      </c>
      <c r="K99" s="520">
        <f t="shared" si="46"/>
        <v>0</v>
      </c>
      <c r="L99" s="520">
        <f t="shared" si="46"/>
        <v>0</v>
      </c>
      <c r="M99" s="520">
        <f t="shared" si="46"/>
        <v>0</v>
      </c>
      <c r="N99" s="520">
        <f>SUM(N94:N98)</f>
        <v>0</v>
      </c>
      <c r="O99" s="187"/>
      <c r="P99" s="1308"/>
      <c r="Q99" s="109"/>
      <c r="R99" s="109"/>
    </row>
    <row r="100" spans="2:18" x14ac:dyDescent="0.2">
      <c r="B100" s="1307"/>
      <c r="C100" s="187"/>
      <c r="D100" s="34"/>
      <c r="E100" s="34"/>
      <c r="F100" s="182"/>
      <c r="G100" s="34"/>
      <c r="H100" s="1291"/>
      <c r="I100" s="1291"/>
      <c r="J100" s="1291"/>
      <c r="K100" s="1291"/>
      <c r="L100" s="1291"/>
      <c r="M100" s="1291"/>
      <c r="N100" s="1291"/>
      <c r="O100" s="187"/>
      <c r="P100" s="1308"/>
      <c r="Q100" s="109"/>
      <c r="R100" s="109"/>
    </row>
    <row r="101" spans="2:18" x14ac:dyDescent="0.2">
      <c r="B101" s="75"/>
      <c r="C101" s="187"/>
      <c r="D101" s="195" t="s">
        <v>477</v>
      </c>
      <c r="E101" s="34"/>
      <c r="F101" s="182"/>
      <c r="G101" s="34"/>
      <c r="H101" s="1292">
        <f>H21</f>
        <v>2019</v>
      </c>
      <c r="I101" s="1292">
        <f t="shared" ref="I101:N101" si="47">I21</f>
        <v>2020</v>
      </c>
      <c r="J101" s="1292">
        <f t="shared" si="47"/>
        <v>2021</v>
      </c>
      <c r="K101" s="1292">
        <f t="shared" si="47"/>
        <v>2022</v>
      </c>
      <c r="L101" s="1292">
        <f t="shared" si="47"/>
        <v>2023</v>
      </c>
      <c r="M101" s="1292">
        <f t="shared" si="47"/>
        <v>2024</v>
      </c>
      <c r="N101" s="1292">
        <f t="shared" si="47"/>
        <v>2025</v>
      </c>
      <c r="O101" s="187"/>
      <c r="P101" s="77"/>
      <c r="Q101" s="109"/>
      <c r="R101" s="109"/>
    </row>
    <row r="102" spans="2:18" x14ac:dyDescent="0.2">
      <c r="B102" s="75"/>
      <c r="C102" s="187"/>
      <c r="D102" s="561"/>
      <c r="E102" s="34"/>
      <c r="F102" s="42"/>
      <c r="G102" s="34"/>
      <c r="H102" s="1316">
        <v>0</v>
      </c>
      <c r="I102" s="1316">
        <f t="shared" ref="I102:N102" si="48">H102</f>
        <v>0</v>
      </c>
      <c r="J102" s="1316">
        <f t="shared" si="48"/>
        <v>0</v>
      </c>
      <c r="K102" s="1316">
        <f t="shared" si="48"/>
        <v>0</v>
      </c>
      <c r="L102" s="1316">
        <f t="shared" si="48"/>
        <v>0</v>
      </c>
      <c r="M102" s="1316">
        <f t="shared" si="48"/>
        <v>0</v>
      </c>
      <c r="N102" s="1316">
        <f t="shared" si="48"/>
        <v>0</v>
      </c>
      <c r="O102" s="187"/>
      <c r="P102" s="77"/>
      <c r="Q102" s="109"/>
      <c r="R102" s="109"/>
    </row>
    <row r="103" spans="2:18" x14ac:dyDescent="0.2">
      <c r="B103" s="75"/>
      <c r="C103" s="187"/>
      <c r="D103" s="554"/>
      <c r="E103" s="34"/>
      <c r="F103" s="42"/>
      <c r="G103" s="34"/>
      <c r="H103" s="1316">
        <v>0</v>
      </c>
      <c r="I103" s="1316">
        <f t="shared" ref="I103:M106" si="49">H103</f>
        <v>0</v>
      </c>
      <c r="J103" s="1316">
        <f t="shared" si="49"/>
        <v>0</v>
      </c>
      <c r="K103" s="1316">
        <f t="shared" si="49"/>
        <v>0</v>
      </c>
      <c r="L103" s="1316">
        <f t="shared" si="49"/>
        <v>0</v>
      </c>
      <c r="M103" s="1316">
        <f t="shared" si="49"/>
        <v>0</v>
      </c>
      <c r="N103" s="1316">
        <f>M103</f>
        <v>0</v>
      </c>
      <c r="O103" s="187"/>
      <c r="P103" s="77"/>
      <c r="Q103" s="109"/>
      <c r="R103" s="109"/>
    </row>
    <row r="104" spans="2:18" x14ac:dyDescent="0.2">
      <c r="B104" s="75"/>
      <c r="C104" s="187"/>
      <c r="D104" s="554"/>
      <c r="E104" s="34"/>
      <c r="F104" s="42"/>
      <c r="G104" s="34"/>
      <c r="H104" s="1316">
        <v>0</v>
      </c>
      <c r="I104" s="1316">
        <f t="shared" si="49"/>
        <v>0</v>
      </c>
      <c r="J104" s="1316">
        <f t="shared" si="49"/>
        <v>0</v>
      </c>
      <c r="K104" s="1316">
        <f t="shared" si="49"/>
        <v>0</v>
      </c>
      <c r="L104" s="1316">
        <f t="shared" si="49"/>
        <v>0</v>
      </c>
      <c r="M104" s="1316">
        <f t="shared" si="49"/>
        <v>0</v>
      </c>
      <c r="N104" s="1316">
        <f>M104</f>
        <v>0</v>
      </c>
      <c r="O104" s="187"/>
      <c r="P104" s="77"/>
      <c r="Q104" s="109"/>
      <c r="R104" s="109"/>
    </row>
    <row r="105" spans="2:18" x14ac:dyDescent="0.2">
      <c r="B105" s="75"/>
      <c r="C105" s="187"/>
      <c r="D105" s="554"/>
      <c r="E105" s="34"/>
      <c r="F105" s="42"/>
      <c r="G105" s="34"/>
      <c r="H105" s="1316">
        <v>0</v>
      </c>
      <c r="I105" s="1316">
        <f t="shared" si="49"/>
        <v>0</v>
      </c>
      <c r="J105" s="1316">
        <f t="shared" si="49"/>
        <v>0</v>
      </c>
      <c r="K105" s="1316">
        <f t="shared" si="49"/>
        <v>0</v>
      </c>
      <c r="L105" s="1316">
        <f t="shared" si="49"/>
        <v>0</v>
      </c>
      <c r="M105" s="1316">
        <f t="shared" si="49"/>
        <v>0</v>
      </c>
      <c r="N105" s="1316">
        <f>M105</f>
        <v>0</v>
      </c>
      <c r="O105" s="187"/>
      <c r="P105" s="77"/>
      <c r="Q105" s="109"/>
      <c r="R105" s="109"/>
    </row>
    <row r="106" spans="2:18" x14ac:dyDescent="0.2">
      <c r="B106" s="75"/>
      <c r="C106" s="187"/>
      <c r="D106" s="554"/>
      <c r="E106" s="34"/>
      <c r="F106" s="42"/>
      <c r="G106" s="34"/>
      <c r="H106" s="1316">
        <v>0</v>
      </c>
      <c r="I106" s="1316">
        <f t="shared" si="49"/>
        <v>0</v>
      </c>
      <c r="J106" s="1316">
        <f t="shared" si="49"/>
        <v>0</v>
      </c>
      <c r="K106" s="1316">
        <f t="shared" si="49"/>
        <v>0</v>
      </c>
      <c r="L106" s="1316">
        <f t="shared" si="49"/>
        <v>0</v>
      </c>
      <c r="M106" s="1316">
        <f t="shared" si="49"/>
        <v>0</v>
      </c>
      <c r="N106" s="1316">
        <f>M106</f>
        <v>0</v>
      </c>
      <c r="O106" s="187"/>
      <c r="P106" s="77"/>
      <c r="Q106" s="109"/>
      <c r="R106" s="109"/>
    </row>
    <row r="107" spans="2:18" x14ac:dyDescent="0.2">
      <c r="B107" s="75"/>
      <c r="C107" s="187"/>
      <c r="D107" s="34"/>
      <c r="E107" s="34"/>
      <c r="F107" s="182"/>
      <c r="G107" s="34"/>
      <c r="H107" s="520">
        <f t="shared" ref="H107:N107" si="50">SUM(H102:H106)</f>
        <v>0</v>
      </c>
      <c r="I107" s="520">
        <f t="shared" si="50"/>
        <v>0</v>
      </c>
      <c r="J107" s="520">
        <f t="shared" si="50"/>
        <v>0</v>
      </c>
      <c r="K107" s="520">
        <f t="shared" si="50"/>
        <v>0</v>
      </c>
      <c r="L107" s="520">
        <f t="shared" si="50"/>
        <v>0</v>
      </c>
      <c r="M107" s="520">
        <f t="shared" si="50"/>
        <v>0</v>
      </c>
      <c r="N107" s="520">
        <f t="shared" si="50"/>
        <v>0</v>
      </c>
      <c r="O107" s="187"/>
      <c r="P107" s="77"/>
      <c r="Q107" s="109"/>
      <c r="R107" s="109"/>
    </row>
    <row r="108" spans="2:18" x14ac:dyDescent="0.2">
      <c r="B108" s="75"/>
      <c r="C108" s="81"/>
      <c r="D108" s="39"/>
      <c r="E108" s="39"/>
      <c r="F108" s="40"/>
      <c r="G108" s="39"/>
      <c r="H108" s="1293"/>
      <c r="I108" s="1293"/>
      <c r="J108" s="1293"/>
      <c r="K108" s="1293"/>
      <c r="L108" s="1293"/>
      <c r="M108" s="1293"/>
      <c r="N108" s="1293"/>
      <c r="O108" s="81"/>
      <c r="P108" s="77"/>
      <c r="Q108" s="109"/>
      <c r="R108" s="109"/>
    </row>
    <row r="109" spans="2:18" x14ac:dyDescent="0.2">
      <c r="B109" s="75"/>
      <c r="C109" s="1302"/>
      <c r="D109" s="1303"/>
      <c r="E109" s="1303"/>
      <c r="F109" s="1304"/>
      <c r="G109" s="1303"/>
      <c r="H109" s="1305"/>
      <c r="I109" s="1305"/>
      <c r="J109" s="1305"/>
      <c r="K109" s="1305"/>
      <c r="L109" s="1305"/>
      <c r="M109" s="1305"/>
      <c r="N109" s="1305"/>
      <c r="O109" s="1306"/>
      <c r="P109" s="77"/>
      <c r="Q109" s="109"/>
      <c r="R109" s="109"/>
    </row>
    <row r="110" spans="2:18" x14ac:dyDescent="0.2">
      <c r="B110" s="1214"/>
      <c r="C110" s="976"/>
      <c r="D110" s="1311"/>
      <c r="E110" s="1311"/>
      <c r="F110" s="1312"/>
      <c r="G110" s="1311"/>
      <c r="H110" s="1313"/>
      <c r="I110" s="1313"/>
      <c r="J110" s="1313"/>
      <c r="K110" s="1313"/>
      <c r="L110" s="1313"/>
      <c r="M110" s="1313"/>
      <c r="N110" s="1313"/>
      <c r="O110" s="976"/>
      <c r="P110" s="1314"/>
      <c r="Q110" s="109"/>
      <c r="R110" s="109"/>
    </row>
    <row r="111" spans="2:18" x14ac:dyDescent="0.2">
      <c r="B111" s="71"/>
      <c r="C111" s="1317"/>
      <c r="D111" s="818"/>
      <c r="E111" s="818"/>
      <c r="F111" s="1318"/>
      <c r="G111" s="818"/>
      <c r="H111" s="1319"/>
      <c r="I111" s="1319"/>
      <c r="J111" s="1319"/>
      <c r="K111" s="1319"/>
      <c r="L111" s="1319"/>
      <c r="M111" s="1319"/>
      <c r="N111" s="1319"/>
      <c r="O111" s="1317"/>
      <c r="P111" s="74"/>
      <c r="Q111" s="109"/>
      <c r="R111" s="109"/>
    </row>
    <row r="112" spans="2:18" x14ac:dyDescent="0.2">
      <c r="B112" s="75"/>
      <c r="C112" s="635"/>
      <c r="D112" s="817"/>
      <c r="E112" s="817"/>
      <c r="F112" s="1309"/>
      <c r="G112" s="817"/>
      <c r="H112" s="1310"/>
      <c r="I112" s="1310"/>
      <c r="J112" s="1310"/>
      <c r="K112" s="1310"/>
      <c r="L112" s="1310"/>
      <c r="M112" s="1310"/>
      <c r="N112" s="1310"/>
      <c r="O112" s="635"/>
      <c r="P112" s="77"/>
      <c r="Q112" s="109"/>
      <c r="R112" s="109"/>
    </row>
    <row r="113" spans="2:18" x14ac:dyDescent="0.2">
      <c r="B113" s="75"/>
      <c r="C113" s="187"/>
      <c r="D113" s="195"/>
      <c r="E113" s="187"/>
      <c r="F113" s="70"/>
      <c r="G113" s="187"/>
      <c r="H113" s="70"/>
      <c r="I113" s="70"/>
      <c r="J113" s="70"/>
      <c r="K113" s="70"/>
      <c r="L113" s="70"/>
      <c r="M113" s="70"/>
      <c r="N113" s="70"/>
      <c r="O113" s="187"/>
      <c r="P113" s="77"/>
      <c r="Q113" s="109"/>
      <c r="R113" s="109"/>
    </row>
    <row r="114" spans="2:18" s="192" customFormat="1" x14ac:dyDescent="0.2">
      <c r="B114" s="79"/>
      <c r="C114" s="187"/>
      <c r="D114" s="1290" t="str">
        <f>pers!D167</f>
        <v>programma 6</v>
      </c>
      <c r="E114" s="187"/>
      <c r="F114" s="70"/>
      <c r="G114" s="187"/>
      <c r="H114" s="70"/>
      <c r="I114" s="70"/>
      <c r="J114" s="70"/>
      <c r="K114" s="70"/>
      <c r="L114" s="70"/>
      <c r="M114" s="70"/>
      <c r="N114" s="70"/>
      <c r="O114" s="187"/>
      <c r="P114" s="90"/>
      <c r="Q114" s="113"/>
      <c r="R114" s="113"/>
    </row>
    <row r="115" spans="2:18" x14ac:dyDescent="0.2">
      <c r="B115" s="75"/>
      <c r="C115" s="187"/>
      <c r="D115" s="185"/>
      <c r="E115" s="187"/>
      <c r="F115" s="70"/>
      <c r="G115" s="187"/>
      <c r="H115" s="70"/>
      <c r="I115" s="70"/>
      <c r="J115" s="70"/>
      <c r="K115" s="70"/>
      <c r="L115" s="70"/>
      <c r="M115" s="70"/>
      <c r="N115" s="70"/>
      <c r="O115" s="187"/>
      <c r="P115" s="77"/>
      <c r="Q115" s="109"/>
      <c r="R115" s="109"/>
    </row>
    <row r="116" spans="2:18" x14ac:dyDescent="0.2">
      <c r="B116" s="75"/>
      <c r="C116" s="187"/>
      <c r="D116" s="195" t="s">
        <v>476</v>
      </c>
      <c r="E116" s="187"/>
      <c r="F116" s="70"/>
      <c r="G116" s="187"/>
      <c r="H116" s="65" t="str">
        <f>H13</f>
        <v>2019/20</v>
      </c>
      <c r="I116" s="65" t="str">
        <f t="shared" ref="I116:N116" si="51">I13</f>
        <v>2020/21</v>
      </c>
      <c r="J116" s="65" t="str">
        <f t="shared" si="51"/>
        <v>2021/22</v>
      </c>
      <c r="K116" s="65" t="str">
        <f t="shared" si="51"/>
        <v>2022/23</v>
      </c>
      <c r="L116" s="65" t="str">
        <f t="shared" si="51"/>
        <v>2023/24</v>
      </c>
      <c r="M116" s="65" t="str">
        <f t="shared" si="51"/>
        <v>2024/25</v>
      </c>
      <c r="N116" s="65" t="str">
        <f t="shared" si="51"/>
        <v>2025/26</v>
      </c>
      <c r="O116" s="187"/>
      <c r="P116" s="77"/>
      <c r="Q116" s="109"/>
      <c r="R116" s="109"/>
    </row>
    <row r="117" spans="2:18" x14ac:dyDescent="0.2">
      <c r="B117" s="75"/>
      <c r="C117" s="187"/>
      <c r="D117" s="561"/>
      <c r="E117" s="34"/>
      <c r="F117" s="42"/>
      <c r="G117" s="34"/>
      <c r="H117" s="511">
        <v>0</v>
      </c>
      <c r="I117" s="511">
        <f t="shared" ref="I117:N117" si="52">H117</f>
        <v>0</v>
      </c>
      <c r="J117" s="511">
        <f t="shared" si="52"/>
        <v>0</v>
      </c>
      <c r="K117" s="511">
        <f t="shared" si="52"/>
        <v>0</v>
      </c>
      <c r="L117" s="511">
        <f t="shared" si="52"/>
        <v>0</v>
      </c>
      <c r="M117" s="511">
        <f t="shared" si="52"/>
        <v>0</v>
      </c>
      <c r="N117" s="511">
        <f t="shared" si="52"/>
        <v>0</v>
      </c>
      <c r="O117" s="187"/>
      <c r="P117" s="77"/>
      <c r="Q117" s="109"/>
      <c r="R117" s="109"/>
    </row>
    <row r="118" spans="2:18" x14ac:dyDescent="0.2">
      <c r="B118" s="75"/>
      <c r="C118" s="187"/>
      <c r="D118" s="554"/>
      <c r="E118" s="34"/>
      <c r="F118" s="42"/>
      <c r="G118" s="34"/>
      <c r="H118" s="511">
        <v>0</v>
      </c>
      <c r="I118" s="511">
        <f t="shared" ref="I118:N118" si="53">H118</f>
        <v>0</v>
      </c>
      <c r="J118" s="511">
        <f t="shared" si="53"/>
        <v>0</v>
      </c>
      <c r="K118" s="511">
        <f t="shared" si="53"/>
        <v>0</v>
      </c>
      <c r="L118" s="511">
        <f t="shared" si="53"/>
        <v>0</v>
      </c>
      <c r="M118" s="511">
        <f t="shared" si="53"/>
        <v>0</v>
      </c>
      <c r="N118" s="511">
        <f t="shared" si="53"/>
        <v>0</v>
      </c>
      <c r="O118" s="187"/>
      <c r="P118" s="77"/>
      <c r="Q118" s="109"/>
      <c r="R118" s="109"/>
    </row>
    <row r="119" spans="2:18" x14ac:dyDescent="0.2">
      <c r="B119" s="75"/>
      <c r="C119" s="187"/>
      <c r="D119" s="554"/>
      <c r="E119" s="34"/>
      <c r="F119" s="42"/>
      <c r="G119" s="34"/>
      <c r="H119" s="511">
        <v>0</v>
      </c>
      <c r="I119" s="511">
        <f t="shared" ref="I119:N119" si="54">H119</f>
        <v>0</v>
      </c>
      <c r="J119" s="511">
        <f t="shared" si="54"/>
        <v>0</v>
      </c>
      <c r="K119" s="511">
        <f t="shared" si="54"/>
        <v>0</v>
      </c>
      <c r="L119" s="511">
        <f t="shared" si="54"/>
        <v>0</v>
      </c>
      <c r="M119" s="511">
        <f t="shared" si="54"/>
        <v>0</v>
      </c>
      <c r="N119" s="511">
        <f t="shared" si="54"/>
        <v>0</v>
      </c>
      <c r="O119" s="187"/>
      <c r="P119" s="77"/>
      <c r="Q119" s="109"/>
      <c r="R119" s="109"/>
    </row>
    <row r="120" spans="2:18" x14ac:dyDescent="0.2">
      <c r="B120" s="75"/>
      <c r="C120" s="187"/>
      <c r="D120" s="554"/>
      <c r="E120" s="34"/>
      <c r="F120" s="42"/>
      <c r="G120" s="34"/>
      <c r="H120" s="511">
        <v>0</v>
      </c>
      <c r="I120" s="511">
        <f t="shared" ref="I120:N120" si="55">H120</f>
        <v>0</v>
      </c>
      <c r="J120" s="511">
        <f t="shared" si="55"/>
        <v>0</v>
      </c>
      <c r="K120" s="511">
        <f t="shared" si="55"/>
        <v>0</v>
      </c>
      <c r="L120" s="511">
        <f t="shared" si="55"/>
        <v>0</v>
      </c>
      <c r="M120" s="511">
        <f t="shared" si="55"/>
        <v>0</v>
      </c>
      <c r="N120" s="511">
        <f t="shared" si="55"/>
        <v>0</v>
      </c>
      <c r="O120" s="218"/>
      <c r="P120" s="77"/>
      <c r="Q120" s="109"/>
      <c r="R120" s="109"/>
    </row>
    <row r="121" spans="2:18" x14ac:dyDescent="0.2">
      <c r="B121" s="75"/>
      <c r="C121" s="187"/>
      <c r="D121" s="554"/>
      <c r="E121" s="34"/>
      <c r="F121" s="42"/>
      <c r="G121" s="34"/>
      <c r="H121" s="511">
        <v>0</v>
      </c>
      <c r="I121" s="511">
        <f t="shared" ref="I121:N121" si="56">H121</f>
        <v>0</v>
      </c>
      <c r="J121" s="511">
        <f t="shared" si="56"/>
        <v>0</v>
      </c>
      <c r="K121" s="511">
        <f t="shared" si="56"/>
        <v>0</v>
      </c>
      <c r="L121" s="511">
        <f t="shared" si="56"/>
        <v>0</v>
      </c>
      <c r="M121" s="511">
        <f t="shared" si="56"/>
        <v>0</v>
      </c>
      <c r="N121" s="511">
        <f t="shared" si="56"/>
        <v>0</v>
      </c>
      <c r="O121" s="218"/>
      <c r="P121" s="77"/>
      <c r="Q121" s="109"/>
      <c r="R121" s="109"/>
    </row>
    <row r="122" spans="2:18" s="192" customFormat="1" x14ac:dyDescent="0.2">
      <c r="B122" s="79"/>
      <c r="C122" s="187"/>
      <c r="D122" s="34"/>
      <c r="E122" s="34"/>
      <c r="F122" s="182"/>
      <c r="G122" s="34"/>
      <c r="H122" s="520">
        <f t="shared" ref="H122:M122" si="57">SUM(H117:H121)</f>
        <v>0</v>
      </c>
      <c r="I122" s="520">
        <f t="shared" si="57"/>
        <v>0</v>
      </c>
      <c r="J122" s="520">
        <f t="shared" si="57"/>
        <v>0</v>
      </c>
      <c r="K122" s="520">
        <f t="shared" si="57"/>
        <v>0</v>
      </c>
      <c r="L122" s="520">
        <f t="shared" si="57"/>
        <v>0</v>
      </c>
      <c r="M122" s="520">
        <f t="shared" si="57"/>
        <v>0</v>
      </c>
      <c r="N122" s="520">
        <f>SUM(N117:N121)</f>
        <v>0</v>
      </c>
      <c r="O122" s="187"/>
      <c r="P122" s="90"/>
      <c r="Q122" s="113"/>
      <c r="R122" s="113"/>
    </row>
    <row r="123" spans="2:18" x14ac:dyDescent="0.2">
      <c r="B123" s="75"/>
      <c r="C123" s="187"/>
      <c r="D123" s="34"/>
      <c r="E123" s="34"/>
      <c r="F123" s="182"/>
      <c r="G123" s="34"/>
      <c r="H123" s="1291"/>
      <c r="I123" s="1291"/>
      <c r="J123" s="1291"/>
      <c r="K123" s="1291"/>
      <c r="L123" s="1291"/>
      <c r="M123" s="1291"/>
      <c r="N123" s="1291"/>
      <c r="O123" s="187"/>
      <c r="P123" s="77"/>
      <c r="Q123" s="109"/>
      <c r="R123" s="109"/>
    </row>
    <row r="124" spans="2:18" x14ac:dyDescent="0.2">
      <c r="B124" s="75"/>
      <c r="C124" s="187"/>
      <c r="D124" s="195" t="s">
        <v>477</v>
      </c>
      <c r="E124" s="34"/>
      <c r="F124" s="182"/>
      <c r="G124" s="34"/>
      <c r="H124" s="1292">
        <f>H21</f>
        <v>2019</v>
      </c>
      <c r="I124" s="1292">
        <f t="shared" ref="I124:N124" si="58">I21</f>
        <v>2020</v>
      </c>
      <c r="J124" s="1292">
        <f t="shared" si="58"/>
        <v>2021</v>
      </c>
      <c r="K124" s="1292">
        <f t="shared" si="58"/>
        <v>2022</v>
      </c>
      <c r="L124" s="1292">
        <f t="shared" si="58"/>
        <v>2023</v>
      </c>
      <c r="M124" s="1292">
        <f t="shared" si="58"/>
        <v>2024</v>
      </c>
      <c r="N124" s="1292">
        <f t="shared" si="58"/>
        <v>2025</v>
      </c>
      <c r="O124" s="187"/>
      <c r="P124" s="77"/>
      <c r="Q124" s="109"/>
      <c r="R124" s="109"/>
    </row>
    <row r="125" spans="2:18" x14ac:dyDescent="0.2">
      <c r="B125" s="75"/>
      <c r="C125" s="187"/>
      <c r="D125" s="561"/>
      <c r="E125" s="34"/>
      <c r="F125" s="42"/>
      <c r="G125" s="34"/>
      <c r="H125" s="1316">
        <v>0</v>
      </c>
      <c r="I125" s="1316">
        <f t="shared" ref="I125:N125" si="59">H125</f>
        <v>0</v>
      </c>
      <c r="J125" s="1316">
        <f t="shared" si="59"/>
        <v>0</v>
      </c>
      <c r="K125" s="1316">
        <f t="shared" si="59"/>
        <v>0</v>
      </c>
      <c r="L125" s="1316">
        <f t="shared" si="59"/>
        <v>0</v>
      </c>
      <c r="M125" s="1316">
        <f t="shared" si="59"/>
        <v>0</v>
      </c>
      <c r="N125" s="1316">
        <f t="shared" si="59"/>
        <v>0</v>
      </c>
      <c r="O125" s="187"/>
      <c r="P125" s="77"/>
      <c r="Q125" s="109"/>
      <c r="R125" s="109"/>
    </row>
    <row r="126" spans="2:18" x14ac:dyDescent="0.2">
      <c r="B126" s="75"/>
      <c r="C126" s="187"/>
      <c r="D126" s="554"/>
      <c r="E126" s="34"/>
      <c r="F126" s="42"/>
      <c r="G126" s="34"/>
      <c r="H126" s="1316">
        <v>0</v>
      </c>
      <c r="I126" s="1316">
        <f t="shared" ref="I126:M129" si="60">H126</f>
        <v>0</v>
      </c>
      <c r="J126" s="1316">
        <f t="shared" si="60"/>
        <v>0</v>
      </c>
      <c r="K126" s="1316">
        <f t="shared" si="60"/>
        <v>0</v>
      </c>
      <c r="L126" s="1316">
        <f t="shared" si="60"/>
        <v>0</v>
      </c>
      <c r="M126" s="1316">
        <f t="shared" si="60"/>
        <v>0</v>
      </c>
      <c r="N126" s="1316">
        <f>M126</f>
        <v>0</v>
      </c>
      <c r="O126" s="187"/>
      <c r="P126" s="77"/>
      <c r="Q126" s="109"/>
      <c r="R126" s="109"/>
    </row>
    <row r="127" spans="2:18" x14ac:dyDescent="0.2">
      <c r="B127" s="75"/>
      <c r="C127" s="187"/>
      <c r="D127" s="554"/>
      <c r="E127" s="34"/>
      <c r="F127" s="42"/>
      <c r="G127" s="34"/>
      <c r="H127" s="1316">
        <v>0</v>
      </c>
      <c r="I127" s="1316">
        <f t="shared" si="60"/>
        <v>0</v>
      </c>
      <c r="J127" s="1316">
        <f t="shared" si="60"/>
        <v>0</v>
      </c>
      <c r="K127" s="1316">
        <f t="shared" si="60"/>
        <v>0</v>
      </c>
      <c r="L127" s="1316">
        <f t="shared" si="60"/>
        <v>0</v>
      </c>
      <c r="M127" s="1316">
        <f t="shared" si="60"/>
        <v>0</v>
      </c>
      <c r="N127" s="1316">
        <f>M127</f>
        <v>0</v>
      </c>
      <c r="O127" s="187"/>
      <c r="P127" s="77"/>
      <c r="Q127" s="109"/>
      <c r="R127" s="109"/>
    </row>
    <row r="128" spans="2:18" x14ac:dyDescent="0.2">
      <c r="B128" s="75"/>
      <c r="C128" s="187"/>
      <c r="D128" s="554"/>
      <c r="E128" s="34"/>
      <c r="F128" s="42"/>
      <c r="G128" s="34"/>
      <c r="H128" s="1316">
        <v>0</v>
      </c>
      <c r="I128" s="1316">
        <f t="shared" si="60"/>
        <v>0</v>
      </c>
      <c r="J128" s="1316">
        <f t="shared" si="60"/>
        <v>0</v>
      </c>
      <c r="K128" s="1316">
        <f t="shared" si="60"/>
        <v>0</v>
      </c>
      <c r="L128" s="1316">
        <f t="shared" si="60"/>
        <v>0</v>
      </c>
      <c r="M128" s="1316">
        <f t="shared" si="60"/>
        <v>0</v>
      </c>
      <c r="N128" s="1316">
        <f>M128</f>
        <v>0</v>
      </c>
      <c r="O128" s="187"/>
      <c r="P128" s="77"/>
      <c r="Q128" s="109"/>
      <c r="R128" s="109"/>
    </row>
    <row r="129" spans="2:18" x14ac:dyDescent="0.2">
      <c r="B129" s="75"/>
      <c r="C129" s="187"/>
      <c r="D129" s="554"/>
      <c r="E129" s="34"/>
      <c r="F129" s="42"/>
      <c r="G129" s="34"/>
      <c r="H129" s="1316">
        <v>0</v>
      </c>
      <c r="I129" s="1316">
        <f t="shared" si="60"/>
        <v>0</v>
      </c>
      <c r="J129" s="1316">
        <f t="shared" si="60"/>
        <v>0</v>
      </c>
      <c r="K129" s="1316">
        <f t="shared" si="60"/>
        <v>0</v>
      </c>
      <c r="L129" s="1316">
        <f t="shared" si="60"/>
        <v>0</v>
      </c>
      <c r="M129" s="1316">
        <f t="shared" si="60"/>
        <v>0</v>
      </c>
      <c r="N129" s="1316">
        <f>M129</f>
        <v>0</v>
      </c>
      <c r="O129" s="187"/>
      <c r="P129" s="77"/>
      <c r="Q129" s="109"/>
      <c r="R129" s="109"/>
    </row>
    <row r="130" spans="2:18" x14ac:dyDescent="0.2">
      <c r="B130" s="75"/>
      <c r="C130" s="187"/>
      <c r="D130" s="34"/>
      <c r="E130" s="34"/>
      <c r="F130" s="182"/>
      <c r="G130" s="34"/>
      <c r="H130" s="520">
        <f t="shared" ref="H130:N130" si="61">SUM(H125:H129)</f>
        <v>0</v>
      </c>
      <c r="I130" s="520">
        <f t="shared" si="61"/>
        <v>0</v>
      </c>
      <c r="J130" s="520">
        <f t="shared" si="61"/>
        <v>0</v>
      </c>
      <c r="K130" s="520">
        <f t="shared" si="61"/>
        <v>0</v>
      </c>
      <c r="L130" s="520">
        <f t="shared" si="61"/>
        <v>0</v>
      </c>
      <c r="M130" s="520">
        <f t="shared" si="61"/>
        <v>0</v>
      </c>
      <c r="N130" s="520">
        <f t="shared" si="61"/>
        <v>0</v>
      </c>
      <c r="O130" s="187"/>
      <c r="P130" s="77"/>
      <c r="Q130" s="109"/>
      <c r="R130" s="109"/>
    </row>
    <row r="131" spans="2:18" x14ac:dyDescent="0.2">
      <c r="B131" s="75"/>
      <c r="C131" s="81"/>
      <c r="D131" s="39"/>
      <c r="E131" s="39"/>
      <c r="F131" s="40"/>
      <c r="G131" s="39"/>
      <c r="H131" s="1293"/>
      <c r="I131" s="1293"/>
      <c r="J131" s="1293"/>
      <c r="K131" s="1293"/>
      <c r="L131" s="1293"/>
      <c r="M131" s="1293"/>
      <c r="N131" s="1293"/>
      <c r="O131" s="81"/>
      <c r="P131" s="77"/>
      <c r="Q131" s="109"/>
      <c r="R131" s="109"/>
    </row>
    <row r="132" spans="2:18" x14ac:dyDescent="0.2">
      <c r="B132" s="75"/>
      <c r="C132" s="1297"/>
      <c r="D132" s="1294"/>
      <c r="E132" s="1294"/>
      <c r="F132" s="1295"/>
      <c r="G132" s="1294"/>
      <c r="H132" s="1296"/>
      <c r="I132" s="1296"/>
      <c r="J132" s="1296"/>
      <c r="K132" s="1296"/>
      <c r="L132" s="1296"/>
      <c r="M132" s="1296"/>
      <c r="N132" s="1296"/>
      <c r="O132" s="1298"/>
      <c r="P132" s="77"/>
      <c r="Q132" s="109"/>
      <c r="R132" s="109"/>
    </row>
    <row r="133" spans="2:18" x14ac:dyDescent="0.2">
      <c r="B133" s="75"/>
      <c r="C133" s="187"/>
      <c r="D133" s="195"/>
      <c r="E133" s="187"/>
      <c r="F133" s="70"/>
      <c r="G133" s="187"/>
      <c r="H133" s="70"/>
      <c r="I133" s="70"/>
      <c r="J133" s="70"/>
      <c r="K133" s="70"/>
      <c r="L133" s="70"/>
      <c r="M133" s="70"/>
      <c r="N133" s="70"/>
      <c r="O133" s="187"/>
      <c r="P133" s="77"/>
      <c r="Q133" s="109"/>
      <c r="R133" s="109"/>
    </row>
    <row r="134" spans="2:18" x14ac:dyDescent="0.2">
      <c r="B134" s="75"/>
      <c r="C134" s="187"/>
      <c r="D134" s="1290" t="str">
        <f>pers!D168</f>
        <v>programma 7</v>
      </c>
      <c r="E134" s="187"/>
      <c r="F134" s="70"/>
      <c r="G134" s="187"/>
      <c r="H134" s="70"/>
      <c r="I134" s="70"/>
      <c r="J134" s="70"/>
      <c r="K134" s="70"/>
      <c r="L134" s="70"/>
      <c r="M134" s="70"/>
      <c r="N134" s="70"/>
      <c r="O134" s="187"/>
      <c r="P134" s="77"/>
      <c r="Q134" s="109"/>
      <c r="R134" s="109"/>
    </row>
    <row r="135" spans="2:18" x14ac:dyDescent="0.2">
      <c r="B135" s="75"/>
      <c r="C135" s="187"/>
      <c r="D135" s="185"/>
      <c r="E135" s="187"/>
      <c r="F135" s="70"/>
      <c r="G135" s="187"/>
      <c r="H135" s="70"/>
      <c r="I135" s="70"/>
      <c r="J135" s="70"/>
      <c r="K135" s="70"/>
      <c r="L135" s="70"/>
      <c r="M135" s="70"/>
      <c r="N135" s="70"/>
      <c r="O135" s="187"/>
      <c r="P135" s="77"/>
      <c r="Q135" s="109"/>
      <c r="R135" s="109"/>
    </row>
    <row r="136" spans="2:18" x14ac:dyDescent="0.2">
      <c r="B136" s="75"/>
      <c r="C136" s="187"/>
      <c r="D136" s="195" t="s">
        <v>476</v>
      </c>
      <c r="E136" s="187"/>
      <c r="F136" s="70"/>
      <c r="G136" s="187"/>
      <c r="H136" s="65" t="str">
        <f>H13</f>
        <v>2019/20</v>
      </c>
      <c r="I136" s="65" t="str">
        <f t="shared" ref="I136:N136" si="62">I13</f>
        <v>2020/21</v>
      </c>
      <c r="J136" s="65" t="str">
        <f t="shared" si="62"/>
        <v>2021/22</v>
      </c>
      <c r="K136" s="65" t="str">
        <f t="shared" si="62"/>
        <v>2022/23</v>
      </c>
      <c r="L136" s="65" t="str">
        <f t="shared" si="62"/>
        <v>2023/24</v>
      </c>
      <c r="M136" s="65" t="str">
        <f t="shared" si="62"/>
        <v>2024/25</v>
      </c>
      <c r="N136" s="65" t="str">
        <f t="shared" si="62"/>
        <v>2025/26</v>
      </c>
      <c r="O136" s="187"/>
      <c r="P136" s="77"/>
      <c r="Q136" s="109"/>
      <c r="R136" s="109"/>
    </row>
    <row r="137" spans="2:18" x14ac:dyDescent="0.2">
      <c r="B137" s="75"/>
      <c r="C137" s="187"/>
      <c r="D137" s="561"/>
      <c r="E137" s="34"/>
      <c r="F137" s="42"/>
      <c r="G137" s="34"/>
      <c r="H137" s="511">
        <v>0</v>
      </c>
      <c r="I137" s="511">
        <f t="shared" ref="I137:N137" si="63">H137</f>
        <v>0</v>
      </c>
      <c r="J137" s="511">
        <f t="shared" si="63"/>
        <v>0</v>
      </c>
      <c r="K137" s="511">
        <f t="shared" si="63"/>
        <v>0</v>
      </c>
      <c r="L137" s="511">
        <f t="shared" si="63"/>
        <v>0</v>
      </c>
      <c r="M137" s="511">
        <f t="shared" si="63"/>
        <v>0</v>
      </c>
      <c r="N137" s="511">
        <f t="shared" si="63"/>
        <v>0</v>
      </c>
      <c r="O137" s="187"/>
      <c r="P137" s="77"/>
      <c r="Q137" s="109"/>
      <c r="R137" s="109"/>
    </row>
    <row r="138" spans="2:18" x14ac:dyDescent="0.2">
      <c r="B138" s="75"/>
      <c r="C138" s="187"/>
      <c r="D138" s="554"/>
      <c r="E138" s="34"/>
      <c r="F138" s="42"/>
      <c r="G138" s="34"/>
      <c r="H138" s="511">
        <v>0</v>
      </c>
      <c r="I138" s="511">
        <f t="shared" ref="I138:N138" si="64">H138</f>
        <v>0</v>
      </c>
      <c r="J138" s="511">
        <f t="shared" si="64"/>
        <v>0</v>
      </c>
      <c r="K138" s="511">
        <f t="shared" si="64"/>
        <v>0</v>
      </c>
      <c r="L138" s="511">
        <f t="shared" si="64"/>
        <v>0</v>
      </c>
      <c r="M138" s="511">
        <f t="shared" si="64"/>
        <v>0</v>
      </c>
      <c r="N138" s="511">
        <f t="shared" si="64"/>
        <v>0</v>
      </c>
      <c r="O138" s="187"/>
      <c r="P138" s="77"/>
      <c r="Q138" s="109"/>
      <c r="R138" s="109"/>
    </row>
    <row r="139" spans="2:18" x14ac:dyDescent="0.2">
      <c r="B139" s="75"/>
      <c r="C139" s="187"/>
      <c r="D139" s="554"/>
      <c r="E139" s="34"/>
      <c r="F139" s="42"/>
      <c r="G139" s="34"/>
      <c r="H139" s="511">
        <v>0</v>
      </c>
      <c r="I139" s="511">
        <f t="shared" ref="I139:N139" si="65">H139</f>
        <v>0</v>
      </c>
      <c r="J139" s="511">
        <f t="shared" si="65"/>
        <v>0</v>
      </c>
      <c r="K139" s="511">
        <f t="shared" si="65"/>
        <v>0</v>
      </c>
      <c r="L139" s="511">
        <f t="shared" si="65"/>
        <v>0</v>
      </c>
      <c r="M139" s="511">
        <f t="shared" si="65"/>
        <v>0</v>
      </c>
      <c r="N139" s="511">
        <f t="shared" si="65"/>
        <v>0</v>
      </c>
      <c r="O139" s="187"/>
      <c r="P139" s="77"/>
      <c r="Q139" s="109"/>
      <c r="R139" s="109"/>
    </row>
    <row r="140" spans="2:18" x14ac:dyDescent="0.2">
      <c r="B140" s="75"/>
      <c r="C140" s="187"/>
      <c r="D140" s="554"/>
      <c r="E140" s="34"/>
      <c r="F140" s="42"/>
      <c r="G140" s="34"/>
      <c r="H140" s="511">
        <v>0</v>
      </c>
      <c r="I140" s="511">
        <f t="shared" ref="I140:N140" si="66">H140</f>
        <v>0</v>
      </c>
      <c r="J140" s="511">
        <f t="shared" si="66"/>
        <v>0</v>
      </c>
      <c r="K140" s="511">
        <f t="shared" si="66"/>
        <v>0</v>
      </c>
      <c r="L140" s="511">
        <f t="shared" si="66"/>
        <v>0</v>
      </c>
      <c r="M140" s="511">
        <f t="shared" si="66"/>
        <v>0</v>
      </c>
      <c r="N140" s="511">
        <f t="shared" si="66"/>
        <v>0</v>
      </c>
      <c r="O140" s="218"/>
      <c r="P140" s="77"/>
      <c r="Q140" s="109"/>
      <c r="R140" s="109"/>
    </row>
    <row r="141" spans="2:18" x14ac:dyDescent="0.2">
      <c r="B141" s="75"/>
      <c r="C141" s="187"/>
      <c r="D141" s="554"/>
      <c r="E141" s="34"/>
      <c r="F141" s="42"/>
      <c r="G141" s="34"/>
      <c r="H141" s="511">
        <v>0</v>
      </c>
      <c r="I141" s="511">
        <f t="shared" ref="I141:N141" si="67">H141</f>
        <v>0</v>
      </c>
      <c r="J141" s="511">
        <f t="shared" si="67"/>
        <v>0</v>
      </c>
      <c r="K141" s="511">
        <f t="shared" si="67"/>
        <v>0</v>
      </c>
      <c r="L141" s="511">
        <f t="shared" si="67"/>
        <v>0</v>
      </c>
      <c r="M141" s="511">
        <f t="shared" si="67"/>
        <v>0</v>
      </c>
      <c r="N141" s="511">
        <f t="shared" si="67"/>
        <v>0</v>
      </c>
      <c r="O141" s="218"/>
      <c r="P141" s="77"/>
      <c r="Q141" s="109"/>
      <c r="R141" s="109"/>
    </row>
    <row r="142" spans="2:18" x14ac:dyDescent="0.2">
      <c r="B142" s="75"/>
      <c r="C142" s="187"/>
      <c r="D142" s="34"/>
      <c r="E142" s="34"/>
      <c r="F142" s="182"/>
      <c r="G142" s="34"/>
      <c r="H142" s="520">
        <f t="shared" ref="H142:M142" si="68">SUM(H137:H141)</f>
        <v>0</v>
      </c>
      <c r="I142" s="520">
        <f t="shared" si="68"/>
        <v>0</v>
      </c>
      <c r="J142" s="520">
        <f t="shared" si="68"/>
        <v>0</v>
      </c>
      <c r="K142" s="520">
        <f t="shared" si="68"/>
        <v>0</v>
      </c>
      <c r="L142" s="520">
        <f t="shared" si="68"/>
        <v>0</v>
      </c>
      <c r="M142" s="520">
        <f t="shared" si="68"/>
        <v>0</v>
      </c>
      <c r="N142" s="520">
        <f>SUM(N137:N141)</f>
        <v>0</v>
      </c>
      <c r="O142" s="187"/>
      <c r="P142" s="77"/>
      <c r="Q142" s="109"/>
      <c r="R142" s="109"/>
    </row>
    <row r="143" spans="2:18" x14ac:dyDescent="0.2">
      <c r="B143" s="75"/>
      <c r="C143" s="187"/>
      <c r="D143" s="34"/>
      <c r="E143" s="34"/>
      <c r="F143" s="182"/>
      <c r="G143" s="34"/>
      <c r="H143" s="1291"/>
      <c r="I143" s="1291"/>
      <c r="J143" s="1291"/>
      <c r="K143" s="1291"/>
      <c r="L143" s="1291"/>
      <c r="M143" s="1291"/>
      <c r="N143" s="1291"/>
      <c r="O143" s="187"/>
      <c r="P143" s="77"/>
      <c r="Q143" s="109"/>
      <c r="R143" s="109"/>
    </row>
    <row r="144" spans="2:18" x14ac:dyDescent="0.2">
      <c r="B144" s="75"/>
      <c r="C144" s="187"/>
      <c r="D144" s="195" t="s">
        <v>477</v>
      </c>
      <c r="E144" s="34"/>
      <c r="F144" s="182"/>
      <c r="G144" s="34"/>
      <c r="H144" s="1292">
        <f>H21</f>
        <v>2019</v>
      </c>
      <c r="I144" s="1292">
        <f t="shared" ref="I144:N144" si="69">I21</f>
        <v>2020</v>
      </c>
      <c r="J144" s="1292">
        <f t="shared" si="69"/>
        <v>2021</v>
      </c>
      <c r="K144" s="1292">
        <f t="shared" si="69"/>
        <v>2022</v>
      </c>
      <c r="L144" s="1292">
        <f t="shared" si="69"/>
        <v>2023</v>
      </c>
      <c r="M144" s="1292">
        <f t="shared" si="69"/>
        <v>2024</v>
      </c>
      <c r="N144" s="1292">
        <f t="shared" si="69"/>
        <v>2025</v>
      </c>
      <c r="O144" s="187"/>
      <c r="P144" s="77"/>
      <c r="Q144" s="109"/>
      <c r="R144" s="109"/>
    </row>
    <row r="145" spans="2:18" x14ac:dyDescent="0.2">
      <c r="B145" s="75"/>
      <c r="C145" s="187"/>
      <c r="D145" s="561"/>
      <c r="E145" s="34"/>
      <c r="F145" s="42"/>
      <c r="G145" s="34"/>
      <c r="H145" s="1316">
        <v>0</v>
      </c>
      <c r="I145" s="1316">
        <f t="shared" ref="I145:N145" si="70">H145</f>
        <v>0</v>
      </c>
      <c r="J145" s="1316">
        <f t="shared" si="70"/>
        <v>0</v>
      </c>
      <c r="K145" s="1316">
        <f t="shared" si="70"/>
        <v>0</v>
      </c>
      <c r="L145" s="1316">
        <f t="shared" si="70"/>
        <v>0</v>
      </c>
      <c r="M145" s="1316">
        <f t="shared" si="70"/>
        <v>0</v>
      </c>
      <c r="N145" s="1316">
        <f t="shared" si="70"/>
        <v>0</v>
      </c>
      <c r="O145" s="187"/>
      <c r="P145" s="77"/>
      <c r="Q145" s="109"/>
      <c r="R145" s="109"/>
    </row>
    <row r="146" spans="2:18" x14ac:dyDescent="0.2">
      <c r="B146" s="75"/>
      <c r="C146" s="187"/>
      <c r="D146" s="554"/>
      <c r="E146" s="34"/>
      <c r="F146" s="42"/>
      <c r="G146" s="34"/>
      <c r="H146" s="1316">
        <v>0</v>
      </c>
      <c r="I146" s="1316">
        <f t="shared" ref="I146:M149" si="71">H146</f>
        <v>0</v>
      </c>
      <c r="J146" s="1316">
        <f t="shared" si="71"/>
        <v>0</v>
      </c>
      <c r="K146" s="1316">
        <f t="shared" si="71"/>
        <v>0</v>
      </c>
      <c r="L146" s="1316">
        <f t="shared" si="71"/>
        <v>0</v>
      </c>
      <c r="M146" s="1316">
        <f t="shared" si="71"/>
        <v>0</v>
      </c>
      <c r="N146" s="1316">
        <f>M146</f>
        <v>0</v>
      </c>
      <c r="O146" s="187"/>
      <c r="P146" s="77"/>
      <c r="Q146" s="109"/>
      <c r="R146" s="109"/>
    </row>
    <row r="147" spans="2:18" x14ac:dyDescent="0.2">
      <c r="B147" s="75"/>
      <c r="C147" s="187"/>
      <c r="D147" s="554"/>
      <c r="E147" s="34"/>
      <c r="F147" s="42"/>
      <c r="G147" s="34"/>
      <c r="H147" s="1316">
        <v>0</v>
      </c>
      <c r="I147" s="1316">
        <f t="shared" si="71"/>
        <v>0</v>
      </c>
      <c r="J147" s="1316">
        <f t="shared" si="71"/>
        <v>0</v>
      </c>
      <c r="K147" s="1316">
        <f t="shared" si="71"/>
        <v>0</v>
      </c>
      <c r="L147" s="1316">
        <f t="shared" si="71"/>
        <v>0</v>
      </c>
      <c r="M147" s="1316">
        <f t="shared" si="71"/>
        <v>0</v>
      </c>
      <c r="N147" s="1316">
        <f>M147</f>
        <v>0</v>
      </c>
      <c r="O147" s="187"/>
      <c r="P147" s="77"/>
      <c r="Q147" s="109"/>
      <c r="R147" s="109"/>
    </row>
    <row r="148" spans="2:18" x14ac:dyDescent="0.2">
      <c r="B148" s="75"/>
      <c r="C148" s="187"/>
      <c r="D148" s="554"/>
      <c r="E148" s="34"/>
      <c r="F148" s="42"/>
      <c r="G148" s="34"/>
      <c r="H148" s="1316">
        <v>0</v>
      </c>
      <c r="I148" s="1316">
        <f t="shared" si="71"/>
        <v>0</v>
      </c>
      <c r="J148" s="1316">
        <f t="shared" si="71"/>
        <v>0</v>
      </c>
      <c r="K148" s="1316">
        <f t="shared" si="71"/>
        <v>0</v>
      </c>
      <c r="L148" s="1316">
        <f t="shared" si="71"/>
        <v>0</v>
      </c>
      <c r="M148" s="1316">
        <f t="shared" si="71"/>
        <v>0</v>
      </c>
      <c r="N148" s="1316">
        <f>M148</f>
        <v>0</v>
      </c>
      <c r="O148" s="187"/>
      <c r="P148" s="77"/>
      <c r="Q148" s="109"/>
      <c r="R148" s="109"/>
    </row>
    <row r="149" spans="2:18" x14ac:dyDescent="0.2">
      <c r="B149" s="75"/>
      <c r="C149" s="187"/>
      <c r="D149" s="554"/>
      <c r="E149" s="34"/>
      <c r="F149" s="42"/>
      <c r="G149" s="34"/>
      <c r="H149" s="1316">
        <v>0</v>
      </c>
      <c r="I149" s="1316">
        <f t="shared" si="71"/>
        <v>0</v>
      </c>
      <c r="J149" s="1316">
        <f t="shared" si="71"/>
        <v>0</v>
      </c>
      <c r="K149" s="1316">
        <f t="shared" si="71"/>
        <v>0</v>
      </c>
      <c r="L149" s="1316">
        <f t="shared" si="71"/>
        <v>0</v>
      </c>
      <c r="M149" s="1316">
        <f t="shared" si="71"/>
        <v>0</v>
      </c>
      <c r="N149" s="1316">
        <f>M149</f>
        <v>0</v>
      </c>
      <c r="O149" s="187"/>
      <c r="P149" s="77"/>
      <c r="Q149" s="109"/>
      <c r="R149" s="109"/>
    </row>
    <row r="150" spans="2:18" x14ac:dyDescent="0.2">
      <c r="B150" s="75"/>
      <c r="C150" s="187"/>
      <c r="D150" s="34"/>
      <c r="E150" s="34"/>
      <c r="F150" s="182"/>
      <c r="G150" s="34"/>
      <c r="H150" s="520">
        <f t="shared" ref="H150:N150" si="72">SUM(H145:H149)</f>
        <v>0</v>
      </c>
      <c r="I150" s="520">
        <f t="shared" si="72"/>
        <v>0</v>
      </c>
      <c r="J150" s="520">
        <f t="shared" si="72"/>
        <v>0</v>
      </c>
      <c r="K150" s="520">
        <f t="shared" si="72"/>
        <v>0</v>
      </c>
      <c r="L150" s="520">
        <f t="shared" si="72"/>
        <v>0</v>
      </c>
      <c r="M150" s="520">
        <f t="shared" si="72"/>
        <v>0</v>
      </c>
      <c r="N150" s="520">
        <f t="shared" si="72"/>
        <v>0</v>
      </c>
      <c r="O150" s="187"/>
      <c r="P150" s="77"/>
      <c r="Q150" s="109"/>
      <c r="R150" s="109"/>
    </row>
    <row r="151" spans="2:18" x14ac:dyDescent="0.2">
      <c r="B151" s="75"/>
      <c r="C151" s="81"/>
      <c r="D151" s="39"/>
      <c r="E151" s="39"/>
      <c r="F151" s="40"/>
      <c r="G151" s="39"/>
      <c r="H151" s="1293"/>
      <c r="I151" s="1293"/>
      <c r="J151" s="1293"/>
      <c r="K151" s="1293"/>
      <c r="L151" s="1293"/>
      <c r="M151" s="1293"/>
      <c r="N151" s="1293"/>
      <c r="O151" s="81"/>
      <c r="P151" s="77"/>
      <c r="Q151" s="109"/>
      <c r="R151" s="109"/>
    </row>
    <row r="152" spans="2:18" x14ac:dyDescent="0.2">
      <c r="B152" s="75"/>
      <c r="C152" s="1297"/>
      <c r="D152" s="1294"/>
      <c r="E152" s="1294"/>
      <c r="F152" s="1295"/>
      <c r="G152" s="1294"/>
      <c r="H152" s="1296"/>
      <c r="I152" s="1296"/>
      <c r="J152" s="1296"/>
      <c r="K152" s="1296"/>
      <c r="L152" s="1296"/>
      <c r="M152" s="1296"/>
      <c r="N152" s="1296"/>
      <c r="O152" s="1298"/>
      <c r="P152" s="77"/>
      <c r="Q152" s="109"/>
      <c r="R152" s="109"/>
    </row>
    <row r="153" spans="2:18" x14ac:dyDescent="0.2">
      <c r="B153" s="75"/>
      <c r="C153" s="187"/>
      <c r="D153" s="195"/>
      <c r="E153" s="187"/>
      <c r="F153" s="70"/>
      <c r="G153" s="187"/>
      <c r="H153" s="70"/>
      <c r="I153" s="70"/>
      <c r="J153" s="70"/>
      <c r="K153" s="70"/>
      <c r="L153" s="70"/>
      <c r="M153" s="70"/>
      <c r="N153" s="70"/>
      <c r="O153" s="187"/>
      <c r="P153" s="77"/>
      <c r="Q153" s="109"/>
      <c r="R153" s="109"/>
    </row>
    <row r="154" spans="2:18" x14ac:dyDescent="0.2">
      <c r="B154" s="75"/>
      <c r="C154" s="187"/>
      <c r="D154" s="1290" t="str">
        <f>pers!D169</f>
        <v>programma 8</v>
      </c>
      <c r="E154" s="187"/>
      <c r="F154" s="70"/>
      <c r="G154" s="187"/>
      <c r="H154" s="70"/>
      <c r="I154" s="70"/>
      <c r="J154" s="70"/>
      <c r="K154" s="70"/>
      <c r="L154" s="70"/>
      <c r="M154" s="70"/>
      <c r="N154" s="70"/>
      <c r="O154" s="187"/>
      <c r="P154" s="77"/>
      <c r="Q154" s="109"/>
      <c r="R154" s="109"/>
    </row>
    <row r="155" spans="2:18" x14ac:dyDescent="0.2">
      <c r="B155" s="75"/>
      <c r="C155" s="187"/>
      <c r="D155" s="185"/>
      <c r="E155" s="187"/>
      <c r="F155" s="70"/>
      <c r="G155" s="187"/>
      <c r="H155" s="70"/>
      <c r="I155" s="70"/>
      <c r="J155" s="70"/>
      <c r="K155" s="70"/>
      <c r="L155" s="70"/>
      <c r="M155" s="70"/>
      <c r="N155" s="70"/>
      <c r="O155" s="187"/>
      <c r="P155" s="77"/>
      <c r="Q155" s="109"/>
      <c r="R155" s="109"/>
    </row>
    <row r="156" spans="2:18" x14ac:dyDescent="0.2">
      <c r="B156" s="75"/>
      <c r="C156" s="187"/>
      <c r="D156" s="195" t="s">
        <v>476</v>
      </c>
      <c r="E156" s="187"/>
      <c r="F156" s="70"/>
      <c r="G156" s="187"/>
      <c r="H156" s="65" t="str">
        <f>H13</f>
        <v>2019/20</v>
      </c>
      <c r="I156" s="65" t="str">
        <f t="shared" ref="I156:N156" si="73">I13</f>
        <v>2020/21</v>
      </c>
      <c r="J156" s="65" t="str">
        <f t="shared" si="73"/>
        <v>2021/22</v>
      </c>
      <c r="K156" s="65" t="str">
        <f t="shared" si="73"/>
        <v>2022/23</v>
      </c>
      <c r="L156" s="65" t="str">
        <f t="shared" si="73"/>
        <v>2023/24</v>
      </c>
      <c r="M156" s="65" t="str">
        <f t="shared" si="73"/>
        <v>2024/25</v>
      </c>
      <c r="N156" s="65" t="str">
        <f t="shared" si="73"/>
        <v>2025/26</v>
      </c>
      <c r="O156" s="187"/>
      <c r="P156" s="77"/>
      <c r="Q156" s="109"/>
      <c r="R156" s="109"/>
    </row>
    <row r="157" spans="2:18" x14ac:dyDescent="0.2">
      <c r="B157" s="75"/>
      <c r="C157" s="187"/>
      <c r="D157" s="561"/>
      <c r="E157" s="34"/>
      <c r="F157" s="42"/>
      <c r="G157" s="34"/>
      <c r="H157" s="511">
        <v>0</v>
      </c>
      <c r="I157" s="511">
        <f t="shared" ref="I157:N157" si="74">H157</f>
        <v>0</v>
      </c>
      <c r="J157" s="511">
        <f t="shared" si="74"/>
        <v>0</v>
      </c>
      <c r="K157" s="511">
        <f t="shared" si="74"/>
        <v>0</v>
      </c>
      <c r="L157" s="511">
        <f t="shared" si="74"/>
        <v>0</v>
      </c>
      <c r="M157" s="511">
        <f t="shared" si="74"/>
        <v>0</v>
      </c>
      <c r="N157" s="511">
        <f t="shared" si="74"/>
        <v>0</v>
      </c>
      <c r="O157" s="187"/>
      <c r="P157" s="77"/>
      <c r="Q157" s="109"/>
      <c r="R157" s="109"/>
    </row>
    <row r="158" spans="2:18" x14ac:dyDescent="0.2">
      <c r="B158" s="75"/>
      <c r="C158" s="187"/>
      <c r="D158" s="561"/>
      <c r="E158" s="34"/>
      <c r="F158" s="42"/>
      <c r="G158" s="34"/>
      <c r="H158" s="511">
        <v>0</v>
      </c>
      <c r="I158" s="511">
        <f t="shared" ref="I158:N158" si="75">H158</f>
        <v>0</v>
      </c>
      <c r="J158" s="511">
        <f t="shared" si="75"/>
        <v>0</v>
      </c>
      <c r="K158" s="511">
        <f t="shared" si="75"/>
        <v>0</v>
      </c>
      <c r="L158" s="511">
        <f t="shared" si="75"/>
        <v>0</v>
      </c>
      <c r="M158" s="511">
        <f t="shared" si="75"/>
        <v>0</v>
      </c>
      <c r="N158" s="511">
        <f t="shared" si="75"/>
        <v>0</v>
      </c>
      <c r="O158" s="187"/>
      <c r="P158" s="77"/>
      <c r="Q158" s="109"/>
      <c r="R158" s="109"/>
    </row>
    <row r="159" spans="2:18" x14ac:dyDescent="0.2">
      <c r="B159" s="75"/>
      <c r="C159" s="187"/>
      <c r="D159" s="561"/>
      <c r="E159" s="34"/>
      <c r="F159" s="42"/>
      <c r="G159" s="34"/>
      <c r="H159" s="511">
        <v>0</v>
      </c>
      <c r="I159" s="511">
        <f t="shared" ref="I159:N159" si="76">H159</f>
        <v>0</v>
      </c>
      <c r="J159" s="511">
        <f t="shared" si="76"/>
        <v>0</v>
      </c>
      <c r="K159" s="511">
        <f t="shared" si="76"/>
        <v>0</v>
      </c>
      <c r="L159" s="511">
        <f t="shared" si="76"/>
        <v>0</v>
      </c>
      <c r="M159" s="511">
        <f t="shared" si="76"/>
        <v>0</v>
      </c>
      <c r="N159" s="511">
        <f t="shared" si="76"/>
        <v>0</v>
      </c>
      <c r="O159" s="187"/>
      <c r="P159" s="77"/>
      <c r="Q159" s="109"/>
      <c r="R159" s="109"/>
    </row>
    <row r="160" spans="2:18" x14ac:dyDescent="0.2">
      <c r="B160" s="75"/>
      <c r="C160" s="187"/>
      <c r="D160" s="554"/>
      <c r="E160" s="34"/>
      <c r="F160" s="42"/>
      <c r="G160" s="34"/>
      <c r="H160" s="511">
        <v>0</v>
      </c>
      <c r="I160" s="511">
        <f t="shared" ref="I160:N160" si="77">H160</f>
        <v>0</v>
      </c>
      <c r="J160" s="511">
        <f t="shared" si="77"/>
        <v>0</v>
      </c>
      <c r="K160" s="511">
        <f t="shared" si="77"/>
        <v>0</v>
      </c>
      <c r="L160" s="511">
        <f t="shared" si="77"/>
        <v>0</v>
      </c>
      <c r="M160" s="511">
        <f t="shared" si="77"/>
        <v>0</v>
      </c>
      <c r="N160" s="511">
        <f t="shared" si="77"/>
        <v>0</v>
      </c>
      <c r="O160" s="218"/>
      <c r="P160" s="77"/>
      <c r="Q160" s="109"/>
      <c r="R160" s="109"/>
    </row>
    <row r="161" spans="2:18" x14ac:dyDescent="0.2">
      <c r="B161" s="75"/>
      <c r="C161" s="187"/>
      <c r="D161" s="554"/>
      <c r="E161" s="34"/>
      <c r="F161" s="42"/>
      <c r="G161" s="34"/>
      <c r="H161" s="511">
        <v>0</v>
      </c>
      <c r="I161" s="511">
        <f t="shared" ref="I161:N161" si="78">H161</f>
        <v>0</v>
      </c>
      <c r="J161" s="511">
        <f t="shared" si="78"/>
        <v>0</v>
      </c>
      <c r="K161" s="511">
        <f t="shared" si="78"/>
        <v>0</v>
      </c>
      <c r="L161" s="511">
        <f t="shared" si="78"/>
        <v>0</v>
      </c>
      <c r="M161" s="511">
        <f t="shared" si="78"/>
        <v>0</v>
      </c>
      <c r="N161" s="511">
        <f t="shared" si="78"/>
        <v>0</v>
      </c>
      <c r="O161" s="218"/>
      <c r="P161" s="77"/>
      <c r="Q161" s="109"/>
      <c r="R161" s="109"/>
    </row>
    <row r="162" spans="2:18" x14ac:dyDescent="0.2">
      <c r="B162" s="75"/>
      <c r="C162" s="187"/>
      <c r="D162" s="34"/>
      <c r="E162" s="34"/>
      <c r="F162" s="182"/>
      <c r="G162" s="34"/>
      <c r="H162" s="520">
        <f t="shared" ref="H162:M162" si="79">SUM(H157:H161)</f>
        <v>0</v>
      </c>
      <c r="I162" s="520">
        <f t="shared" si="79"/>
        <v>0</v>
      </c>
      <c r="J162" s="520">
        <f t="shared" si="79"/>
        <v>0</v>
      </c>
      <c r="K162" s="520">
        <f t="shared" si="79"/>
        <v>0</v>
      </c>
      <c r="L162" s="520">
        <f t="shared" si="79"/>
        <v>0</v>
      </c>
      <c r="M162" s="520">
        <f t="shared" si="79"/>
        <v>0</v>
      </c>
      <c r="N162" s="520">
        <f>SUM(N157:N161)</f>
        <v>0</v>
      </c>
      <c r="O162" s="187"/>
      <c r="P162" s="77"/>
      <c r="Q162" s="109"/>
      <c r="R162" s="109"/>
    </row>
    <row r="163" spans="2:18" x14ac:dyDescent="0.2">
      <c r="B163" s="75"/>
      <c r="C163" s="187"/>
      <c r="D163" s="34"/>
      <c r="E163" s="34"/>
      <c r="F163" s="182"/>
      <c r="G163" s="34"/>
      <c r="H163" s="1291"/>
      <c r="I163" s="1291"/>
      <c r="J163" s="1291"/>
      <c r="K163" s="1291"/>
      <c r="L163" s="1291"/>
      <c r="M163" s="1291"/>
      <c r="N163" s="1291"/>
      <c r="O163" s="187"/>
      <c r="P163" s="77"/>
      <c r="Q163" s="109"/>
      <c r="R163" s="109"/>
    </row>
    <row r="164" spans="2:18" x14ac:dyDescent="0.2">
      <c r="B164" s="75"/>
      <c r="C164" s="187"/>
      <c r="D164" s="195" t="s">
        <v>477</v>
      </c>
      <c r="E164" s="34"/>
      <c r="F164" s="182"/>
      <c r="G164" s="34"/>
      <c r="H164" s="1292">
        <f>H21</f>
        <v>2019</v>
      </c>
      <c r="I164" s="1292">
        <f t="shared" ref="I164:N164" si="80">I21</f>
        <v>2020</v>
      </c>
      <c r="J164" s="1292">
        <f t="shared" si="80"/>
        <v>2021</v>
      </c>
      <c r="K164" s="1292">
        <f t="shared" si="80"/>
        <v>2022</v>
      </c>
      <c r="L164" s="1292">
        <f t="shared" si="80"/>
        <v>2023</v>
      </c>
      <c r="M164" s="1292">
        <f t="shared" si="80"/>
        <v>2024</v>
      </c>
      <c r="N164" s="1292">
        <f t="shared" si="80"/>
        <v>2025</v>
      </c>
      <c r="O164" s="187"/>
      <c r="P164" s="77"/>
      <c r="Q164" s="109"/>
      <c r="R164" s="109"/>
    </row>
    <row r="165" spans="2:18" x14ac:dyDescent="0.2">
      <c r="B165" s="75"/>
      <c r="C165" s="187"/>
      <c r="D165" s="561"/>
      <c r="E165" s="34"/>
      <c r="F165" s="42"/>
      <c r="G165" s="34"/>
      <c r="H165" s="1316">
        <v>0</v>
      </c>
      <c r="I165" s="1316">
        <f t="shared" ref="I165:N165" si="81">H165</f>
        <v>0</v>
      </c>
      <c r="J165" s="1316">
        <f t="shared" si="81"/>
        <v>0</v>
      </c>
      <c r="K165" s="1316">
        <f t="shared" si="81"/>
        <v>0</v>
      </c>
      <c r="L165" s="1316">
        <f t="shared" si="81"/>
        <v>0</v>
      </c>
      <c r="M165" s="1316">
        <f t="shared" si="81"/>
        <v>0</v>
      </c>
      <c r="N165" s="1316">
        <f t="shared" si="81"/>
        <v>0</v>
      </c>
      <c r="O165" s="187"/>
      <c r="P165" s="77"/>
      <c r="Q165" s="109"/>
      <c r="R165" s="109"/>
    </row>
    <row r="166" spans="2:18" x14ac:dyDescent="0.2">
      <c r="B166" s="75"/>
      <c r="C166" s="187"/>
      <c r="D166" s="554"/>
      <c r="E166" s="34"/>
      <c r="F166" s="42"/>
      <c r="G166" s="34"/>
      <c r="H166" s="1316">
        <v>0</v>
      </c>
      <c r="I166" s="1316">
        <f t="shared" ref="I166:M169" si="82">H166</f>
        <v>0</v>
      </c>
      <c r="J166" s="1316">
        <f t="shared" si="82"/>
        <v>0</v>
      </c>
      <c r="K166" s="1316">
        <f t="shared" si="82"/>
        <v>0</v>
      </c>
      <c r="L166" s="1316">
        <f t="shared" si="82"/>
        <v>0</v>
      </c>
      <c r="M166" s="1316">
        <f t="shared" si="82"/>
        <v>0</v>
      </c>
      <c r="N166" s="1316">
        <f>M166</f>
        <v>0</v>
      </c>
      <c r="O166" s="187"/>
      <c r="P166" s="77"/>
      <c r="Q166" s="109"/>
      <c r="R166" s="109"/>
    </row>
    <row r="167" spans="2:18" x14ac:dyDescent="0.2">
      <c r="B167" s="75"/>
      <c r="C167" s="187"/>
      <c r="D167" s="554"/>
      <c r="E167" s="34"/>
      <c r="F167" s="42"/>
      <c r="G167" s="34"/>
      <c r="H167" s="1316">
        <v>0</v>
      </c>
      <c r="I167" s="1316">
        <f t="shared" si="82"/>
        <v>0</v>
      </c>
      <c r="J167" s="1316">
        <f t="shared" si="82"/>
        <v>0</v>
      </c>
      <c r="K167" s="1316">
        <f t="shared" si="82"/>
        <v>0</v>
      </c>
      <c r="L167" s="1316">
        <f t="shared" si="82"/>
        <v>0</v>
      </c>
      <c r="M167" s="1316">
        <f t="shared" si="82"/>
        <v>0</v>
      </c>
      <c r="N167" s="1316">
        <f>M167</f>
        <v>0</v>
      </c>
      <c r="O167" s="187"/>
      <c r="P167" s="77"/>
      <c r="Q167" s="109"/>
      <c r="R167" s="109"/>
    </row>
    <row r="168" spans="2:18" x14ac:dyDescent="0.2">
      <c r="B168" s="75"/>
      <c r="C168" s="187"/>
      <c r="D168" s="554"/>
      <c r="E168" s="34"/>
      <c r="F168" s="42"/>
      <c r="G168" s="34"/>
      <c r="H168" s="1316">
        <v>0</v>
      </c>
      <c r="I168" s="1316">
        <f t="shared" si="82"/>
        <v>0</v>
      </c>
      <c r="J168" s="1316">
        <f t="shared" si="82"/>
        <v>0</v>
      </c>
      <c r="K168" s="1316">
        <f t="shared" si="82"/>
        <v>0</v>
      </c>
      <c r="L168" s="1316">
        <f t="shared" si="82"/>
        <v>0</v>
      </c>
      <c r="M168" s="1316">
        <f t="shared" si="82"/>
        <v>0</v>
      </c>
      <c r="N168" s="1316">
        <f>M168</f>
        <v>0</v>
      </c>
      <c r="O168" s="187"/>
      <c r="P168" s="77"/>
      <c r="Q168" s="109"/>
      <c r="R168" s="109"/>
    </row>
    <row r="169" spans="2:18" x14ac:dyDescent="0.2">
      <c r="B169" s="75"/>
      <c r="C169" s="187"/>
      <c r="D169" s="554"/>
      <c r="E169" s="34"/>
      <c r="F169" s="42"/>
      <c r="G169" s="34"/>
      <c r="H169" s="1316">
        <v>0</v>
      </c>
      <c r="I169" s="1316">
        <f t="shared" si="82"/>
        <v>0</v>
      </c>
      <c r="J169" s="1316">
        <f t="shared" si="82"/>
        <v>0</v>
      </c>
      <c r="K169" s="1316">
        <f t="shared" si="82"/>
        <v>0</v>
      </c>
      <c r="L169" s="1316">
        <f t="shared" si="82"/>
        <v>0</v>
      </c>
      <c r="M169" s="1316">
        <f t="shared" si="82"/>
        <v>0</v>
      </c>
      <c r="N169" s="1316">
        <f>M169</f>
        <v>0</v>
      </c>
      <c r="O169" s="187"/>
      <c r="P169" s="77"/>
      <c r="Q169" s="109"/>
      <c r="R169" s="109"/>
    </row>
    <row r="170" spans="2:18" x14ac:dyDescent="0.2">
      <c r="B170" s="75"/>
      <c r="C170" s="187"/>
      <c r="D170" s="34"/>
      <c r="E170" s="34"/>
      <c r="F170" s="182"/>
      <c r="G170" s="34"/>
      <c r="H170" s="520">
        <f t="shared" ref="H170:N170" si="83">SUM(H165:H169)</f>
        <v>0</v>
      </c>
      <c r="I170" s="520">
        <f t="shared" si="83"/>
        <v>0</v>
      </c>
      <c r="J170" s="520">
        <f t="shared" si="83"/>
        <v>0</v>
      </c>
      <c r="K170" s="520">
        <f t="shared" si="83"/>
        <v>0</v>
      </c>
      <c r="L170" s="520">
        <f t="shared" si="83"/>
        <v>0</v>
      </c>
      <c r="M170" s="520">
        <f t="shared" si="83"/>
        <v>0</v>
      </c>
      <c r="N170" s="520">
        <f t="shared" si="83"/>
        <v>0</v>
      </c>
      <c r="O170" s="187"/>
      <c r="P170" s="77"/>
      <c r="Q170" s="109"/>
      <c r="R170" s="109"/>
    </row>
    <row r="171" spans="2:18" x14ac:dyDescent="0.2">
      <c r="B171" s="75"/>
      <c r="C171" s="81"/>
      <c r="D171" s="39"/>
      <c r="E171" s="39"/>
      <c r="F171" s="40"/>
      <c r="G171" s="39"/>
      <c r="H171" s="1293"/>
      <c r="I171" s="1293"/>
      <c r="J171" s="1293"/>
      <c r="K171" s="1293"/>
      <c r="L171" s="1293"/>
      <c r="M171" s="1293"/>
      <c r="N171" s="1293"/>
      <c r="O171" s="81"/>
      <c r="P171" s="77"/>
      <c r="Q171" s="109"/>
      <c r="R171" s="109"/>
    </row>
    <row r="172" spans="2:18" x14ac:dyDescent="0.2">
      <c r="B172" s="75"/>
      <c r="C172" s="1297"/>
      <c r="D172" s="1294"/>
      <c r="E172" s="1294"/>
      <c r="F172" s="1295"/>
      <c r="G172" s="1294"/>
      <c r="H172" s="1296"/>
      <c r="I172" s="1296"/>
      <c r="J172" s="1296"/>
      <c r="K172" s="1296"/>
      <c r="L172" s="1296"/>
      <c r="M172" s="1296"/>
      <c r="N172" s="1296"/>
      <c r="O172" s="1298"/>
      <c r="P172" s="77"/>
      <c r="Q172" s="109"/>
      <c r="R172" s="109"/>
    </row>
    <row r="173" spans="2:18" x14ac:dyDescent="0.2">
      <c r="B173" s="75"/>
      <c r="C173" s="187"/>
      <c r="D173" s="195"/>
      <c r="E173" s="187"/>
      <c r="F173" s="70"/>
      <c r="G173" s="187"/>
      <c r="H173" s="70"/>
      <c r="I173" s="70"/>
      <c r="J173" s="70"/>
      <c r="K173" s="70"/>
      <c r="L173" s="70"/>
      <c r="M173" s="70"/>
      <c r="N173" s="70"/>
      <c r="O173" s="187"/>
      <c r="P173" s="77"/>
      <c r="Q173" s="109"/>
      <c r="R173" s="109"/>
    </row>
    <row r="174" spans="2:18" x14ac:dyDescent="0.2">
      <c r="B174" s="75"/>
      <c r="C174" s="187"/>
      <c r="D174" s="1290" t="str">
        <f>pers!D170</f>
        <v>programma 9</v>
      </c>
      <c r="E174" s="187"/>
      <c r="F174" s="70"/>
      <c r="G174" s="187"/>
      <c r="H174" s="70"/>
      <c r="I174" s="70"/>
      <c r="J174" s="70"/>
      <c r="K174" s="70"/>
      <c r="L174" s="70"/>
      <c r="M174" s="70"/>
      <c r="N174" s="70"/>
      <c r="O174" s="187"/>
      <c r="P174" s="77"/>
      <c r="Q174" s="109"/>
      <c r="R174" s="109"/>
    </row>
    <row r="175" spans="2:18" x14ac:dyDescent="0.2">
      <c r="B175" s="75"/>
      <c r="C175" s="187"/>
      <c r="D175" s="185"/>
      <c r="E175" s="187"/>
      <c r="F175" s="70"/>
      <c r="G175" s="187"/>
      <c r="H175" s="70"/>
      <c r="I175" s="70"/>
      <c r="J175" s="70"/>
      <c r="K175" s="70"/>
      <c r="L175" s="70"/>
      <c r="M175" s="70"/>
      <c r="N175" s="70"/>
      <c r="O175" s="187"/>
      <c r="P175" s="77"/>
      <c r="Q175" s="109"/>
      <c r="R175" s="109"/>
    </row>
    <row r="176" spans="2:18" x14ac:dyDescent="0.2">
      <c r="B176" s="75"/>
      <c r="C176" s="187"/>
      <c r="D176" s="195" t="s">
        <v>476</v>
      </c>
      <c r="E176" s="187"/>
      <c r="F176" s="70"/>
      <c r="G176" s="187"/>
      <c r="H176" s="65" t="str">
        <f>H13</f>
        <v>2019/20</v>
      </c>
      <c r="I176" s="65" t="str">
        <f t="shared" ref="I176:N176" si="84">I13</f>
        <v>2020/21</v>
      </c>
      <c r="J176" s="65" t="str">
        <f t="shared" si="84"/>
        <v>2021/22</v>
      </c>
      <c r="K176" s="65" t="str">
        <f t="shared" si="84"/>
        <v>2022/23</v>
      </c>
      <c r="L176" s="65" t="str">
        <f t="shared" si="84"/>
        <v>2023/24</v>
      </c>
      <c r="M176" s="65" t="str">
        <f t="shared" si="84"/>
        <v>2024/25</v>
      </c>
      <c r="N176" s="65" t="str">
        <f t="shared" si="84"/>
        <v>2025/26</v>
      </c>
      <c r="O176" s="187"/>
      <c r="P176" s="77"/>
      <c r="Q176" s="109"/>
      <c r="R176" s="109"/>
    </row>
    <row r="177" spans="2:18" x14ac:dyDescent="0.2">
      <c r="B177" s="75"/>
      <c r="C177" s="187"/>
      <c r="D177" s="561"/>
      <c r="E177" s="34"/>
      <c r="F177" s="42"/>
      <c r="G177" s="34"/>
      <c r="H177" s="511">
        <v>0</v>
      </c>
      <c r="I177" s="511">
        <f t="shared" ref="I177:N177" si="85">H177</f>
        <v>0</v>
      </c>
      <c r="J177" s="511">
        <f t="shared" si="85"/>
        <v>0</v>
      </c>
      <c r="K177" s="511">
        <f t="shared" si="85"/>
        <v>0</v>
      </c>
      <c r="L177" s="511">
        <f t="shared" si="85"/>
        <v>0</v>
      </c>
      <c r="M177" s="511">
        <f t="shared" si="85"/>
        <v>0</v>
      </c>
      <c r="N177" s="511">
        <f t="shared" si="85"/>
        <v>0</v>
      </c>
      <c r="O177" s="187"/>
      <c r="P177" s="77"/>
      <c r="Q177" s="109"/>
      <c r="R177" s="109"/>
    </row>
    <row r="178" spans="2:18" x14ac:dyDescent="0.2">
      <c r="B178" s="75"/>
      <c r="C178" s="187"/>
      <c r="D178" s="561"/>
      <c r="E178" s="34"/>
      <c r="F178" s="42"/>
      <c r="G178" s="34"/>
      <c r="H178" s="511">
        <v>0</v>
      </c>
      <c r="I178" s="511">
        <f t="shared" ref="I178:N178" si="86">H178</f>
        <v>0</v>
      </c>
      <c r="J178" s="511">
        <f t="shared" si="86"/>
        <v>0</v>
      </c>
      <c r="K178" s="511">
        <f t="shared" si="86"/>
        <v>0</v>
      </c>
      <c r="L178" s="511">
        <f t="shared" si="86"/>
        <v>0</v>
      </c>
      <c r="M178" s="511">
        <f t="shared" si="86"/>
        <v>0</v>
      </c>
      <c r="N178" s="511">
        <f t="shared" si="86"/>
        <v>0</v>
      </c>
      <c r="O178" s="187"/>
      <c r="P178" s="77"/>
      <c r="Q178" s="109"/>
      <c r="R178" s="109"/>
    </row>
    <row r="179" spans="2:18" x14ac:dyDescent="0.2">
      <c r="B179" s="75"/>
      <c r="C179" s="187"/>
      <c r="D179" s="561"/>
      <c r="E179" s="34"/>
      <c r="F179" s="42"/>
      <c r="G179" s="34"/>
      <c r="H179" s="511">
        <v>0</v>
      </c>
      <c r="I179" s="511">
        <f t="shared" ref="I179:N179" si="87">H179</f>
        <v>0</v>
      </c>
      <c r="J179" s="511">
        <f t="shared" si="87"/>
        <v>0</v>
      </c>
      <c r="K179" s="511">
        <f t="shared" si="87"/>
        <v>0</v>
      </c>
      <c r="L179" s="511">
        <f t="shared" si="87"/>
        <v>0</v>
      </c>
      <c r="M179" s="511">
        <f t="shared" si="87"/>
        <v>0</v>
      </c>
      <c r="N179" s="511">
        <f t="shared" si="87"/>
        <v>0</v>
      </c>
      <c r="O179" s="187"/>
      <c r="P179" s="77"/>
      <c r="Q179" s="109"/>
      <c r="R179" s="109"/>
    </row>
    <row r="180" spans="2:18" x14ac:dyDescent="0.2">
      <c r="B180" s="75"/>
      <c r="C180" s="187"/>
      <c r="D180" s="561"/>
      <c r="E180" s="34"/>
      <c r="F180" s="42"/>
      <c r="G180" s="34"/>
      <c r="H180" s="511">
        <v>0</v>
      </c>
      <c r="I180" s="511">
        <f t="shared" ref="I180:N180" si="88">H180</f>
        <v>0</v>
      </c>
      <c r="J180" s="511">
        <f t="shared" si="88"/>
        <v>0</v>
      </c>
      <c r="K180" s="511">
        <f t="shared" si="88"/>
        <v>0</v>
      </c>
      <c r="L180" s="511">
        <f t="shared" si="88"/>
        <v>0</v>
      </c>
      <c r="M180" s="511">
        <f t="shared" si="88"/>
        <v>0</v>
      </c>
      <c r="N180" s="511">
        <f t="shared" si="88"/>
        <v>0</v>
      </c>
      <c r="O180" s="218"/>
      <c r="P180" s="77"/>
      <c r="Q180" s="109"/>
      <c r="R180" s="109"/>
    </row>
    <row r="181" spans="2:18" x14ac:dyDescent="0.2">
      <c r="B181" s="75"/>
      <c r="C181" s="187"/>
      <c r="D181" s="554"/>
      <c r="E181" s="34"/>
      <c r="F181" s="42"/>
      <c r="G181" s="34"/>
      <c r="H181" s="511">
        <v>0</v>
      </c>
      <c r="I181" s="511">
        <f t="shared" ref="I181:N181" si="89">H181</f>
        <v>0</v>
      </c>
      <c r="J181" s="511">
        <f t="shared" si="89"/>
        <v>0</v>
      </c>
      <c r="K181" s="511">
        <f t="shared" si="89"/>
        <v>0</v>
      </c>
      <c r="L181" s="511">
        <f t="shared" si="89"/>
        <v>0</v>
      </c>
      <c r="M181" s="511">
        <f t="shared" si="89"/>
        <v>0</v>
      </c>
      <c r="N181" s="511">
        <f t="shared" si="89"/>
        <v>0</v>
      </c>
      <c r="O181" s="218"/>
      <c r="P181" s="77"/>
      <c r="Q181" s="109"/>
      <c r="R181" s="109"/>
    </row>
    <row r="182" spans="2:18" x14ac:dyDescent="0.2">
      <c r="B182" s="75"/>
      <c r="C182" s="187"/>
      <c r="D182" s="34"/>
      <c r="E182" s="34"/>
      <c r="F182" s="182"/>
      <c r="G182" s="34"/>
      <c r="H182" s="520">
        <f t="shared" ref="H182:M182" si="90">SUM(H177:H181)</f>
        <v>0</v>
      </c>
      <c r="I182" s="520">
        <f t="shared" si="90"/>
        <v>0</v>
      </c>
      <c r="J182" s="520">
        <f t="shared" si="90"/>
        <v>0</v>
      </c>
      <c r="K182" s="520">
        <f t="shared" si="90"/>
        <v>0</v>
      </c>
      <c r="L182" s="520">
        <f t="shared" si="90"/>
        <v>0</v>
      </c>
      <c r="M182" s="520">
        <f t="shared" si="90"/>
        <v>0</v>
      </c>
      <c r="N182" s="520">
        <f>SUM(N177:N181)</f>
        <v>0</v>
      </c>
      <c r="O182" s="187"/>
      <c r="P182" s="77"/>
      <c r="Q182" s="109"/>
      <c r="R182" s="109"/>
    </row>
    <row r="183" spans="2:18" x14ac:dyDescent="0.2">
      <c r="B183" s="75"/>
      <c r="C183" s="187"/>
      <c r="D183" s="34"/>
      <c r="E183" s="34"/>
      <c r="F183" s="182"/>
      <c r="G183" s="34"/>
      <c r="H183" s="1291"/>
      <c r="I183" s="1291"/>
      <c r="J183" s="1291"/>
      <c r="K183" s="1291"/>
      <c r="L183" s="1291"/>
      <c r="M183" s="1291"/>
      <c r="N183" s="1291"/>
      <c r="O183" s="187"/>
      <c r="P183" s="77"/>
      <c r="Q183" s="109"/>
      <c r="R183" s="109"/>
    </row>
    <row r="184" spans="2:18" x14ac:dyDescent="0.2">
      <c r="B184" s="75"/>
      <c r="C184" s="187"/>
      <c r="D184" s="195" t="s">
        <v>477</v>
      </c>
      <c r="E184" s="34"/>
      <c r="F184" s="182"/>
      <c r="G184" s="34"/>
      <c r="H184" s="1292">
        <f>H21</f>
        <v>2019</v>
      </c>
      <c r="I184" s="1292">
        <f t="shared" ref="I184:N184" si="91">I21</f>
        <v>2020</v>
      </c>
      <c r="J184" s="1292">
        <f t="shared" si="91"/>
        <v>2021</v>
      </c>
      <c r="K184" s="1292">
        <f t="shared" si="91"/>
        <v>2022</v>
      </c>
      <c r="L184" s="1292">
        <f t="shared" si="91"/>
        <v>2023</v>
      </c>
      <c r="M184" s="1292">
        <f t="shared" si="91"/>
        <v>2024</v>
      </c>
      <c r="N184" s="1292">
        <f t="shared" si="91"/>
        <v>2025</v>
      </c>
      <c r="O184" s="187"/>
      <c r="P184" s="77"/>
      <c r="Q184" s="109"/>
      <c r="R184" s="109"/>
    </row>
    <row r="185" spans="2:18" x14ac:dyDescent="0.2">
      <c r="B185" s="75"/>
      <c r="C185" s="187"/>
      <c r="D185" s="561"/>
      <c r="E185" s="34"/>
      <c r="F185" s="42"/>
      <c r="G185" s="34"/>
      <c r="H185" s="1316">
        <v>0</v>
      </c>
      <c r="I185" s="1316">
        <f t="shared" ref="I185:N185" si="92">H185</f>
        <v>0</v>
      </c>
      <c r="J185" s="1316">
        <f t="shared" si="92"/>
        <v>0</v>
      </c>
      <c r="K185" s="1316">
        <f t="shared" si="92"/>
        <v>0</v>
      </c>
      <c r="L185" s="1316">
        <f t="shared" si="92"/>
        <v>0</v>
      </c>
      <c r="M185" s="1316">
        <f t="shared" si="92"/>
        <v>0</v>
      </c>
      <c r="N185" s="1316">
        <f t="shared" si="92"/>
        <v>0</v>
      </c>
      <c r="O185" s="187"/>
      <c r="P185" s="77"/>
      <c r="Q185" s="109"/>
      <c r="R185" s="109"/>
    </row>
    <row r="186" spans="2:18" x14ac:dyDescent="0.2">
      <c r="B186" s="75"/>
      <c r="C186" s="187"/>
      <c r="D186" s="554"/>
      <c r="E186" s="34"/>
      <c r="F186" s="42"/>
      <c r="G186" s="34"/>
      <c r="H186" s="1316">
        <v>0</v>
      </c>
      <c r="I186" s="1316">
        <f t="shared" ref="I186:M189" si="93">H186</f>
        <v>0</v>
      </c>
      <c r="J186" s="1316">
        <f t="shared" si="93"/>
        <v>0</v>
      </c>
      <c r="K186" s="1316">
        <f t="shared" si="93"/>
        <v>0</v>
      </c>
      <c r="L186" s="1316">
        <f t="shared" si="93"/>
        <v>0</v>
      </c>
      <c r="M186" s="1316">
        <f t="shared" si="93"/>
        <v>0</v>
      </c>
      <c r="N186" s="1316">
        <f>M186</f>
        <v>0</v>
      </c>
      <c r="O186" s="187"/>
      <c r="P186" s="77"/>
      <c r="Q186" s="109"/>
      <c r="R186" s="109"/>
    </row>
    <row r="187" spans="2:18" x14ac:dyDescent="0.2">
      <c r="B187" s="75"/>
      <c r="C187" s="187"/>
      <c r="D187" s="554"/>
      <c r="E187" s="34"/>
      <c r="F187" s="42"/>
      <c r="G187" s="34"/>
      <c r="H187" s="1316">
        <v>0</v>
      </c>
      <c r="I187" s="1316">
        <f t="shared" si="93"/>
        <v>0</v>
      </c>
      <c r="J187" s="1316">
        <f t="shared" si="93"/>
        <v>0</v>
      </c>
      <c r="K187" s="1316">
        <f t="shared" si="93"/>
        <v>0</v>
      </c>
      <c r="L187" s="1316">
        <f t="shared" si="93"/>
        <v>0</v>
      </c>
      <c r="M187" s="1316">
        <f t="shared" si="93"/>
        <v>0</v>
      </c>
      <c r="N187" s="1316">
        <f>M187</f>
        <v>0</v>
      </c>
      <c r="O187" s="187"/>
      <c r="P187" s="77"/>
      <c r="Q187" s="109"/>
      <c r="R187" s="109"/>
    </row>
    <row r="188" spans="2:18" x14ac:dyDescent="0.2">
      <c r="B188" s="75"/>
      <c r="C188" s="187"/>
      <c r="D188" s="554"/>
      <c r="E188" s="34"/>
      <c r="F188" s="42"/>
      <c r="G188" s="34"/>
      <c r="H188" s="1316">
        <v>0</v>
      </c>
      <c r="I188" s="1316">
        <f t="shared" si="93"/>
        <v>0</v>
      </c>
      <c r="J188" s="1316">
        <f t="shared" si="93"/>
        <v>0</v>
      </c>
      <c r="K188" s="1316">
        <f t="shared" si="93"/>
        <v>0</v>
      </c>
      <c r="L188" s="1316">
        <f t="shared" si="93"/>
        <v>0</v>
      </c>
      <c r="M188" s="1316">
        <f t="shared" si="93"/>
        <v>0</v>
      </c>
      <c r="N188" s="1316">
        <f>M188</f>
        <v>0</v>
      </c>
      <c r="O188" s="187"/>
      <c r="P188" s="77"/>
      <c r="Q188" s="109"/>
      <c r="R188" s="109"/>
    </row>
    <row r="189" spans="2:18" x14ac:dyDescent="0.2">
      <c r="B189" s="75"/>
      <c r="C189" s="187"/>
      <c r="D189" s="554"/>
      <c r="E189" s="34"/>
      <c r="F189" s="42"/>
      <c r="G189" s="34"/>
      <c r="H189" s="1316">
        <v>0</v>
      </c>
      <c r="I189" s="1316">
        <f t="shared" si="93"/>
        <v>0</v>
      </c>
      <c r="J189" s="1316">
        <f t="shared" si="93"/>
        <v>0</v>
      </c>
      <c r="K189" s="1316">
        <f t="shared" si="93"/>
        <v>0</v>
      </c>
      <c r="L189" s="1316">
        <f t="shared" si="93"/>
        <v>0</v>
      </c>
      <c r="M189" s="1316">
        <f t="shared" si="93"/>
        <v>0</v>
      </c>
      <c r="N189" s="1316">
        <f>M189</f>
        <v>0</v>
      </c>
      <c r="O189" s="187"/>
      <c r="P189" s="77"/>
      <c r="Q189" s="109"/>
      <c r="R189" s="109"/>
    </row>
    <row r="190" spans="2:18" x14ac:dyDescent="0.2">
      <c r="B190" s="634"/>
      <c r="C190" s="187"/>
      <c r="D190" s="34"/>
      <c r="E190" s="34"/>
      <c r="F190" s="182"/>
      <c r="G190" s="34"/>
      <c r="H190" s="520">
        <f t="shared" ref="H190:N190" si="94">SUM(H185:H189)</f>
        <v>0</v>
      </c>
      <c r="I190" s="520">
        <f t="shared" si="94"/>
        <v>0</v>
      </c>
      <c r="J190" s="520">
        <f t="shared" si="94"/>
        <v>0</v>
      </c>
      <c r="K190" s="520">
        <f t="shared" si="94"/>
        <v>0</v>
      </c>
      <c r="L190" s="520">
        <f t="shared" si="94"/>
        <v>0</v>
      </c>
      <c r="M190" s="520">
        <f t="shared" si="94"/>
        <v>0</v>
      </c>
      <c r="N190" s="520">
        <f t="shared" si="94"/>
        <v>0</v>
      </c>
      <c r="O190" s="187"/>
      <c r="P190" s="847"/>
      <c r="Q190" s="109"/>
      <c r="R190" s="109"/>
    </row>
    <row r="191" spans="2:18" s="810" customFormat="1" x14ac:dyDescent="0.2">
      <c r="B191" s="634"/>
      <c r="C191" s="81"/>
      <c r="D191" s="39"/>
      <c r="E191" s="39"/>
      <c r="F191" s="40"/>
      <c r="G191" s="39"/>
      <c r="H191" s="1293"/>
      <c r="I191" s="1293"/>
      <c r="J191" s="1293"/>
      <c r="K191" s="1293"/>
      <c r="L191" s="1293"/>
      <c r="M191" s="1293"/>
      <c r="N191" s="1293"/>
      <c r="O191" s="81"/>
      <c r="P191" s="1257"/>
    </row>
    <row r="192" spans="2:18" s="810" customFormat="1" x14ac:dyDescent="0.2">
      <c r="B192" s="634"/>
      <c r="C192" s="1297"/>
      <c r="D192" s="1294"/>
      <c r="E192" s="1294"/>
      <c r="F192" s="1295"/>
      <c r="G192" s="1294"/>
      <c r="H192" s="1296"/>
      <c r="I192" s="1296"/>
      <c r="J192" s="1296"/>
      <c r="K192" s="1296"/>
      <c r="L192" s="1296"/>
      <c r="M192" s="1296"/>
      <c r="N192" s="1296"/>
      <c r="O192" s="1298"/>
      <c r="P192" s="1257"/>
    </row>
    <row r="193" spans="2:16" s="810" customFormat="1" x14ac:dyDescent="0.2">
      <c r="B193" s="634"/>
      <c r="C193" s="187"/>
      <c r="D193" s="195"/>
      <c r="E193" s="187"/>
      <c r="F193" s="70"/>
      <c r="G193" s="187"/>
      <c r="H193" s="70"/>
      <c r="I193" s="70"/>
      <c r="J193" s="70"/>
      <c r="K193" s="70"/>
      <c r="L193" s="70"/>
      <c r="M193" s="70"/>
      <c r="N193" s="70"/>
      <c r="O193" s="187"/>
      <c r="P193" s="1257"/>
    </row>
    <row r="194" spans="2:16" s="810" customFormat="1" x14ac:dyDescent="0.2">
      <c r="B194" s="634"/>
      <c r="C194" s="187"/>
      <c r="D194" s="1290" t="str">
        <f>pers!D171</f>
        <v>programma 10</v>
      </c>
      <c r="E194" s="187"/>
      <c r="F194" s="70"/>
      <c r="G194" s="187"/>
      <c r="H194" s="70"/>
      <c r="I194" s="70"/>
      <c r="J194" s="70"/>
      <c r="K194" s="70"/>
      <c r="L194" s="70"/>
      <c r="M194" s="70"/>
      <c r="N194" s="70"/>
      <c r="O194" s="187"/>
      <c r="P194" s="1257"/>
    </row>
    <row r="195" spans="2:16" s="810" customFormat="1" x14ac:dyDescent="0.2">
      <c r="B195" s="634"/>
      <c r="C195" s="187"/>
      <c r="D195" s="185"/>
      <c r="E195" s="187"/>
      <c r="F195" s="70"/>
      <c r="G195" s="187"/>
      <c r="H195" s="70"/>
      <c r="I195" s="70"/>
      <c r="J195" s="70"/>
      <c r="K195" s="70"/>
      <c r="L195" s="70"/>
      <c r="M195" s="70"/>
      <c r="N195" s="70"/>
      <c r="O195" s="187"/>
      <c r="P195" s="1257"/>
    </row>
    <row r="196" spans="2:16" s="810" customFormat="1" x14ac:dyDescent="0.2">
      <c r="B196" s="634"/>
      <c r="C196" s="187"/>
      <c r="D196" s="195" t="s">
        <v>476</v>
      </c>
      <c r="E196" s="187"/>
      <c r="F196" s="70"/>
      <c r="G196" s="187"/>
      <c r="H196" s="65" t="str">
        <f>H13</f>
        <v>2019/20</v>
      </c>
      <c r="I196" s="65" t="str">
        <f t="shared" ref="I196:N196" si="95">I13</f>
        <v>2020/21</v>
      </c>
      <c r="J196" s="65" t="str">
        <f t="shared" si="95"/>
        <v>2021/22</v>
      </c>
      <c r="K196" s="65" t="str">
        <f t="shared" si="95"/>
        <v>2022/23</v>
      </c>
      <c r="L196" s="65" t="str">
        <f t="shared" si="95"/>
        <v>2023/24</v>
      </c>
      <c r="M196" s="65" t="str">
        <f t="shared" si="95"/>
        <v>2024/25</v>
      </c>
      <c r="N196" s="65" t="str">
        <f t="shared" si="95"/>
        <v>2025/26</v>
      </c>
      <c r="O196" s="187"/>
      <c r="P196" s="1257"/>
    </row>
    <row r="197" spans="2:16" s="810" customFormat="1" x14ac:dyDescent="0.2">
      <c r="B197" s="634"/>
      <c r="C197" s="187"/>
      <c r="D197" s="561"/>
      <c r="E197" s="34"/>
      <c r="F197" s="42"/>
      <c r="G197" s="34"/>
      <c r="H197" s="511">
        <v>0</v>
      </c>
      <c r="I197" s="511">
        <f t="shared" ref="I197:N197" si="96">H197</f>
        <v>0</v>
      </c>
      <c r="J197" s="511">
        <f t="shared" si="96"/>
        <v>0</v>
      </c>
      <c r="K197" s="511">
        <f t="shared" si="96"/>
        <v>0</v>
      </c>
      <c r="L197" s="511">
        <f t="shared" si="96"/>
        <v>0</v>
      </c>
      <c r="M197" s="511">
        <f t="shared" si="96"/>
        <v>0</v>
      </c>
      <c r="N197" s="511">
        <f t="shared" si="96"/>
        <v>0</v>
      </c>
      <c r="O197" s="187"/>
      <c r="P197" s="1257"/>
    </row>
    <row r="198" spans="2:16" s="810" customFormat="1" x14ac:dyDescent="0.2">
      <c r="B198" s="634"/>
      <c r="C198" s="187"/>
      <c r="D198" s="561"/>
      <c r="E198" s="34"/>
      <c r="F198" s="42"/>
      <c r="G198" s="34"/>
      <c r="H198" s="511">
        <v>0</v>
      </c>
      <c r="I198" s="511">
        <f t="shared" ref="I198:N198" si="97">H198</f>
        <v>0</v>
      </c>
      <c r="J198" s="511">
        <f t="shared" si="97"/>
        <v>0</v>
      </c>
      <c r="K198" s="511">
        <f t="shared" si="97"/>
        <v>0</v>
      </c>
      <c r="L198" s="511">
        <f t="shared" si="97"/>
        <v>0</v>
      </c>
      <c r="M198" s="511">
        <f t="shared" si="97"/>
        <v>0</v>
      </c>
      <c r="N198" s="511">
        <f t="shared" si="97"/>
        <v>0</v>
      </c>
      <c r="O198" s="187"/>
      <c r="P198" s="1257"/>
    </row>
    <row r="199" spans="2:16" s="810" customFormat="1" x14ac:dyDescent="0.2">
      <c r="B199" s="634"/>
      <c r="C199" s="187"/>
      <c r="D199" s="561"/>
      <c r="E199" s="34"/>
      <c r="F199" s="42"/>
      <c r="G199" s="34"/>
      <c r="H199" s="511">
        <v>0</v>
      </c>
      <c r="I199" s="511">
        <f t="shared" ref="I199:N199" si="98">H199</f>
        <v>0</v>
      </c>
      <c r="J199" s="511">
        <f t="shared" si="98"/>
        <v>0</v>
      </c>
      <c r="K199" s="511">
        <f t="shared" si="98"/>
        <v>0</v>
      </c>
      <c r="L199" s="511">
        <f t="shared" si="98"/>
        <v>0</v>
      </c>
      <c r="M199" s="511">
        <f t="shared" si="98"/>
        <v>0</v>
      </c>
      <c r="N199" s="511">
        <f t="shared" si="98"/>
        <v>0</v>
      </c>
      <c r="O199" s="187"/>
      <c r="P199" s="1257"/>
    </row>
    <row r="200" spans="2:16" s="810" customFormat="1" x14ac:dyDescent="0.2">
      <c r="B200" s="634"/>
      <c r="C200" s="187"/>
      <c r="D200" s="561"/>
      <c r="E200" s="34"/>
      <c r="F200" s="42"/>
      <c r="G200" s="34"/>
      <c r="H200" s="511">
        <v>0</v>
      </c>
      <c r="I200" s="511">
        <f t="shared" ref="I200:N200" si="99">H200</f>
        <v>0</v>
      </c>
      <c r="J200" s="511">
        <f t="shared" si="99"/>
        <v>0</v>
      </c>
      <c r="K200" s="511">
        <f t="shared" si="99"/>
        <v>0</v>
      </c>
      <c r="L200" s="511">
        <f t="shared" si="99"/>
        <v>0</v>
      </c>
      <c r="M200" s="511">
        <f t="shared" si="99"/>
        <v>0</v>
      </c>
      <c r="N200" s="511">
        <f t="shared" si="99"/>
        <v>0</v>
      </c>
      <c r="O200" s="218"/>
      <c r="P200" s="1257"/>
    </row>
    <row r="201" spans="2:16" s="810" customFormat="1" x14ac:dyDescent="0.2">
      <c r="B201" s="634"/>
      <c r="C201" s="187"/>
      <c r="D201" s="554"/>
      <c r="E201" s="34"/>
      <c r="F201" s="42"/>
      <c r="G201" s="34"/>
      <c r="H201" s="511">
        <v>0</v>
      </c>
      <c r="I201" s="511">
        <f t="shared" ref="I201:N201" si="100">H201</f>
        <v>0</v>
      </c>
      <c r="J201" s="511">
        <f t="shared" si="100"/>
        <v>0</v>
      </c>
      <c r="K201" s="511">
        <f t="shared" si="100"/>
        <v>0</v>
      </c>
      <c r="L201" s="511">
        <f t="shared" si="100"/>
        <v>0</v>
      </c>
      <c r="M201" s="511">
        <f t="shared" si="100"/>
        <v>0</v>
      </c>
      <c r="N201" s="511">
        <f t="shared" si="100"/>
        <v>0</v>
      </c>
      <c r="O201" s="218"/>
      <c r="P201" s="1257"/>
    </row>
    <row r="202" spans="2:16" s="810" customFormat="1" x14ac:dyDescent="0.2">
      <c r="B202" s="634"/>
      <c r="C202" s="187"/>
      <c r="D202" s="34"/>
      <c r="E202" s="34"/>
      <c r="F202" s="182"/>
      <c r="G202" s="34"/>
      <c r="H202" s="520">
        <f t="shared" ref="H202:M202" si="101">SUM(H197:H201)</f>
        <v>0</v>
      </c>
      <c r="I202" s="520">
        <f t="shared" si="101"/>
        <v>0</v>
      </c>
      <c r="J202" s="520">
        <f t="shared" si="101"/>
        <v>0</v>
      </c>
      <c r="K202" s="520">
        <f t="shared" si="101"/>
        <v>0</v>
      </c>
      <c r="L202" s="520">
        <f t="shared" si="101"/>
        <v>0</v>
      </c>
      <c r="M202" s="520">
        <f t="shared" si="101"/>
        <v>0</v>
      </c>
      <c r="N202" s="520">
        <f>SUM(N197:N201)</f>
        <v>0</v>
      </c>
      <c r="O202" s="187"/>
      <c r="P202" s="1257"/>
    </row>
    <row r="203" spans="2:16" s="810" customFormat="1" x14ac:dyDescent="0.2">
      <c r="B203" s="634"/>
      <c r="C203" s="187"/>
      <c r="D203" s="34"/>
      <c r="E203" s="34"/>
      <c r="F203" s="182"/>
      <c r="G203" s="34"/>
      <c r="H203" s="1291"/>
      <c r="I203" s="1291"/>
      <c r="J203" s="1291"/>
      <c r="K203" s="1291"/>
      <c r="L203" s="1291"/>
      <c r="M203" s="1291"/>
      <c r="N203" s="1291"/>
      <c r="O203" s="187"/>
      <c r="P203" s="1257"/>
    </row>
    <row r="204" spans="2:16" s="810" customFormat="1" x14ac:dyDescent="0.2">
      <c r="B204" s="634"/>
      <c r="C204" s="187"/>
      <c r="D204" s="195" t="s">
        <v>477</v>
      </c>
      <c r="E204" s="34"/>
      <c r="F204" s="182"/>
      <c r="G204" s="34"/>
      <c r="H204" s="1292">
        <f>H21</f>
        <v>2019</v>
      </c>
      <c r="I204" s="1292">
        <f t="shared" ref="I204:N204" si="102">I21</f>
        <v>2020</v>
      </c>
      <c r="J204" s="1292">
        <f t="shared" si="102"/>
        <v>2021</v>
      </c>
      <c r="K204" s="1292">
        <f t="shared" si="102"/>
        <v>2022</v>
      </c>
      <c r="L204" s="1292">
        <f t="shared" si="102"/>
        <v>2023</v>
      </c>
      <c r="M204" s="1292">
        <f t="shared" si="102"/>
        <v>2024</v>
      </c>
      <c r="N204" s="1292">
        <f t="shared" si="102"/>
        <v>2025</v>
      </c>
      <c r="O204" s="187"/>
      <c r="P204" s="1257"/>
    </row>
    <row r="205" spans="2:16" s="810" customFormat="1" x14ac:dyDescent="0.2">
      <c r="B205" s="634"/>
      <c r="C205" s="187"/>
      <c r="D205" s="561"/>
      <c r="E205" s="34"/>
      <c r="F205" s="42"/>
      <c r="G205" s="34"/>
      <c r="H205" s="1316">
        <v>0</v>
      </c>
      <c r="I205" s="1316">
        <f t="shared" ref="I205:N205" si="103">H205</f>
        <v>0</v>
      </c>
      <c r="J205" s="1316">
        <f t="shared" si="103"/>
        <v>0</v>
      </c>
      <c r="K205" s="1316">
        <f t="shared" si="103"/>
        <v>0</v>
      </c>
      <c r="L205" s="1316">
        <f t="shared" si="103"/>
        <v>0</v>
      </c>
      <c r="M205" s="1316">
        <f t="shared" si="103"/>
        <v>0</v>
      </c>
      <c r="N205" s="1316">
        <f t="shared" si="103"/>
        <v>0</v>
      </c>
      <c r="O205" s="187"/>
      <c r="P205" s="1257"/>
    </row>
    <row r="206" spans="2:16" s="810" customFormat="1" x14ac:dyDescent="0.2">
      <c r="B206" s="634"/>
      <c r="C206" s="187"/>
      <c r="D206" s="554"/>
      <c r="E206" s="34"/>
      <c r="F206" s="42"/>
      <c r="G206" s="34"/>
      <c r="H206" s="1316">
        <v>0</v>
      </c>
      <c r="I206" s="1316">
        <f t="shared" ref="I206:M209" si="104">H206</f>
        <v>0</v>
      </c>
      <c r="J206" s="1316">
        <f t="shared" si="104"/>
        <v>0</v>
      </c>
      <c r="K206" s="1316">
        <f t="shared" si="104"/>
        <v>0</v>
      </c>
      <c r="L206" s="1316">
        <f t="shared" si="104"/>
        <v>0</v>
      </c>
      <c r="M206" s="1316">
        <f t="shared" si="104"/>
        <v>0</v>
      </c>
      <c r="N206" s="1316">
        <f>M206</f>
        <v>0</v>
      </c>
      <c r="O206" s="187"/>
      <c r="P206" s="1257"/>
    </row>
    <row r="207" spans="2:16" s="810" customFormat="1" x14ac:dyDescent="0.2">
      <c r="B207" s="634"/>
      <c r="C207" s="187"/>
      <c r="D207" s="554"/>
      <c r="E207" s="34"/>
      <c r="F207" s="42"/>
      <c r="G207" s="34"/>
      <c r="H207" s="1316">
        <v>0</v>
      </c>
      <c r="I207" s="1316">
        <f t="shared" si="104"/>
        <v>0</v>
      </c>
      <c r="J207" s="1316">
        <f t="shared" si="104"/>
        <v>0</v>
      </c>
      <c r="K207" s="1316">
        <f t="shared" si="104"/>
        <v>0</v>
      </c>
      <c r="L207" s="1316">
        <f t="shared" si="104"/>
        <v>0</v>
      </c>
      <c r="M207" s="1316">
        <f t="shared" si="104"/>
        <v>0</v>
      </c>
      <c r="N207" s="1316">
        <f>M207</f>
        <v>0</v>
      </c>
      <c r="O207" s="187"/>
      <c r="P207" s="1257"/>
    </row>
    <row r="208" spans="2:16" s="810" customFormat="1" x14ac:dyDescent="0.2">
      <c r="B208" s="634"/>
      <c r="C208" s="187"/>
      <c r="D208" s="554"/>
      <c r="E208" s="34"/>
      <c r="F208" s="42"/>
      <c r="G208" s="34"/>
      <c r="H208" s="1316">
        <v>0</v>
      </c>
      <c r="I208" s="1316">
        <f t="shared" si="104"/>
        <v>0</v>
      </c>
      <c r="J208" s="1316">
        <f t="shared" si="104"/>
        <v>0</v>
      </c>
      <c r="K208" s="1316">
        <f t="shared" si="104"/>
        <v>0</v>
      </c>
      <c r="L208" s="1316">
        <f t="shared" si="104"/>
        <v>0</v>
      </c>
      <c r="M208" s="1316">
        <f t="shared" si="104"/>
        <v>0</v>
      </c>
      <c r="N208" s="1316">
        <f>M208</f>
        <v>0</v>
      </c>
      <c r="O208" s="187"/>
      <c r="P208" s="1257"/>
    </row>
    <row r="209" spans="2:16" s="810" customFormat="1" x14ac:dyDescent="0.2">
      <c r="B209" s="634"/>
      <c r="C209" s="187"/>
      <c r="D209" s="554"/>
      <c r="E209" s="34"/>
      <c r="F209" s="42"/>
      <c r="G209" s="34"/>
      <c r="H209" s="1316">
        <v>0</v>
      </c>
      <c r="I209" s="1316">
        <f t="shared" si="104"/>
        <v>0</v>
      </c>
      <c r="J209" s="1316">
        <f t="shared" si="104"/>
        <v>0</v>
      </c>
      <c r="K209" s="1316">
        <f t="shared" si="104"/>
        <v>0</v>
      </c>
      <c r="L209" s="1316">
        <f t="shared" si="104"/>
        <v>0</v>
      </c>
      <c r="M209" s="1316">
        <f t="shared" si="104"/>
        <v>0</v>
      </c>
      <c r="N209" s="1316">
        <f>M209</f>
        <v>0</v>
      </c>
      <c r="O209" s="187"/>
      <c r="P209" s="1257"/>
    </row>
    <row r="210" spans="2:16" s="810" customFormat="1" x14ac:dyDescent="0.2">
      <c r="B210" s="634"/>
      <c r="C210" s="187"/>
      <c r="D210" s="34"/>
      <c r="E210" s="34"/>
      <c r="F210" s="182"/>
      <c r="G210" s="34"/>
      <c r="H210" s="1324">
        <f t="shared" ref="H210:N210" si="105">SUM(H205:H209)</f>
        <v>0</v>
      </c>
      <c r="I210" s="520">
        <f t="shared" si="105"/>
        <v>0</v>
      </c>
      <c r="J210" s="520">
        <f t="shared" si="105"/>
        <v>0</v>
      </c>
      <c r="K210" s="520">
        <f t="shared" si="105"/>
        <v>0</v>
      </c>
      <c r="L210" s="520">
        <f t="shared" si="105"/>
        <v>0</v>
      </c>
      <c r="M210" s="520">
        <f t="shared" si="105"/>
        <v>0</v>
      </c>
      <c r="N210" s="520">
        <f t="shared" si="105"/>
        <v>0</v>
      </c>
      <c r="O210" s="187"/>
      <c r="P210" s="1257"/>
    </row>
    <row r="211" spans="2:16" s="810" customFormat="1" x14ac:dyDescent="0.2">
      <c r="B211" s="634"/>
      <c r="C211" s="81"/>
      <c r="D211" s="39"/>
      <c r="E211" s="39"/>
      <c r="F211" s="40"/>
      <c r="G211" s="39"/>
      <c r="H211" s="1293"/>
      <c r="I211" s="1293"/>
      <c r="J211" s="1293"/>
      <c r="K211" s="1293"/>
      <c r="L211" s="1293"/>
      <c r="M211" s="1293"/>
      <c r="N211" s="1293"/>
      <c r="O211" s="81"/>
      <c r="P211" s="1257"/>
    </row>
    <row r="212" spans="2:16" s="810" customFormat="1" x14ac:dyDescent="0.2">
      <c r="B212" s="634"/>
      <c r="C212" s="109"/>
      <c r="D212" s="6"/>
      <c r="E212" s="6"/>
      <c r="F212" s="165"/>
      <c r="G212" s="6"/>
      <c r="H212" s="1321"/>
      <c r="I212" s="1321"/>
      <c r="J212" s="1321"/>
      <c r="K212" s="1321"/>
      <c r="L212" s="1321"/>
      <c r="M212" s="1321"/>
      <c r="N212" s="1321"/>
      <c r="O212" s="109"/>
      <c r="P212" s="1257"/>
    </row>
    <row r="213" spans="2:16" s="810" customFormat="1" x14ac:dyDescent="0.2">
      <c r="B213" s="634"/>
      <c r="C213" s="109"/>
      <c r="D213" s="113"/>
      <c r="E213" s="6"/>
      <c r="F213" s="165"/>
      <c r="G213" s="6"/>
      <c r="H213" s="1321" t="str">
        <f>H13</f>
        <v>2019/20</v>
      </c>
      <c r="I213" s="1321" t="str">
        <f t="shared" ref="I213:N213" si="106">I13</f>
        <v>2020/21</v>
      </c>
      <c r="J213" s="1321" t="str">
        <f t="shared" si="106"/>
        <v>2021/22</v>
      </c>
      <c r="K213" s="1321" t="str">
        <f t="shared" si="106"/>
        <v>2022/23</v>
      </c>
      <c r="L213" s="1321" t="str">
        <f t="shared" si="106"/>
        <v>2023/24</v>
      </c>
      <c r="M213" s="1321" t="str">
        <f t="shared" si="106"/>
        <v>2024/25</v>
      </c>
      <c r="N213" s="1321" t="str">
        <f t="shared" si="106"/>
        <v>2025/26</v>
      </c>
      <c r="O213" s="109"/>
      <c r="P213" s="1257"/>
    </row>
    <row r="214" spans="2:16" s="810" customFormat="1" x14ac:dyDescent="0.2">
      <c r="B214" s="634"/>
      <c r="C214" s="109"/>
      <c r="D214" s="113" t="s">
        <v>753</v>
      </c>
      <c r="E214" s="6"/>
      <c r="F214" s="165"/>
      <c r="G214" s="6"/>
      <c r="H214" s="1325">
        <f t="shared" ref="H214:N214" si="107">H19+H39+H59+H79+H99+H122+H142+H162+H182+H202</f>
        <v>12345</v>
      </c>
      <c r="I214" s="1325">
        <f t="shared" si="107"/>
        <v>12345</v>
      </c>
      <c r="J214" s="1325">
        <f t="shared" si="107"/>
        <v>12345</v>
      </c>
      <c r="K214" s="1325">
        <f t="shared" si="107"/>
        <v>12345</v>
      </c>
      <c r="L214" s="1325">
        <f t="shared" si="107"/>
        <v>12345</v>
      </c>
      <c r="M214" s="1325">
        <f t="shared" si="107"/>
        <v>12345</v>
      </c>
      <c r="N214" s="1325">
        <f t="shared" si="107"/>
        <v>12345</v>
      </c>
      <c r="O214" s="109"/>
      <c r="P214" s="1257"/>
    </row>
    <row r="215" spans="2:16" s="810" customFormat="1" x14ac:dyDescent="0.2">
      <c r="B215" s="634"/>
      <c r="C215" s="109"/>
      <c r="D215" s="113"/>
      <c r="E215" s="6"/>
      <c r="F215" s="165"/>
      <c r="G215" s="6"/>
      <c r="H215" s="1321"/>
      <c r="I215" s="1321"/>
      <c r="J215" s="1321"/>
      <c r="K215" s="1321"/>
      <c r="L215" s="1321"/>
      <c r="M215" s="1321"/>
      <c r="N215" s="1321"/>
      <c r="O215" s="109"/>
      <c r="P215" s="1257"/>
    </row>
    <row r="216" spans="2:16" s="810" customFormat="1" x14ac:dyDescent="0.2">
      <c r="B216" s="634"/>
      <c r="C216" s="109"/>
      <c r="D216" s="113"/>
      <c r="E216" s="6"/>
      <c r="F216" s="165"/>
      <c r="G216" s="6"/>
      <c r="H216" s="1322">
        <f>H21</f>
        <v>2019</v>
      </c>
      <c r="I216" s="1322">
        <f t="shared" ref="I216:N216" si="108">I21</f>
        <v>2020</v>
      </c>
      <c r="J216" s="1322">
        <f t="shared" si="108"/>
        <v>2021</v>
      </c>
      <c r="K216" s="1322">
        <f t="shared" si="108"/>
        <v>2022</v>
      </c>
      <c r="L216" s="1322">
        <f t="shared" si="108"/>
        <v>2023</v>
      </c>
      <c r="M216" s="1322">
        <f t="shared" si="108"/>
        <v>2024</v>
      </c>
      <c r="N216" s="1322">
        <f t="shared" si="108"/>
        <v>2025</v>
      </c>
      <c r="O216" s="109"/>
      <c r="P216" s="1257"/>
    </row>
    <row r="217" spans="2:16" s="810" customFormat="1" x14ac:dyDescent="0.2">
      <c r="B217" s="634"/>
      <c r="C217" s="109"/>
      <c r="D217" s="113" t="s">
        <v>754</v>
      </c>
      <c r="E217" s="6"/>
      <c r="F217" s="165"/>
      <c r="G217" s="6"/>
      <c r="H217" s="1325">
        <f t="shared" ref="H217:M217" si="109">H27+H47+H67+H87+H107+H130+H170+H190+H210</f>
        <v>1234</v>
      </c>
      <c r="I217" s="1325">
        <f t="shared" si="109"/>
        <v>1234</v>
      </c>
      <c r="J217" s="1325">
        <f t="shared" si="109"/>
        <v>1234</v>
      </c>
      <c r="K217" s="1325">
        <f t="shared" si="109"/>
        <v>1234</v>
      </c>
      <c r="L217" s="1325">
        <f t="shared" si="109"/>
        <v>1234</v>
      </c>
      <c r="M217" s="1325">
        <f t="shared" si="109"/>
        <v>1234</v>
      </c>
      <c r="N217" s="1325">
        <f>N27+N47+N67+N87+N107+N130+N170+N190+N210</f>
        <v>1234</v>
      </c>
      <c r="O217" s="109"/>
      <c r="P217" s="1257"/>
    </row>
    <row r="218" spans="2:16" s="810" customFormat="1" x14ac:dyDescent="0.2">
      <c r="B218" s="634"/>
      <c r="C218" s="109"/>
      <c r="D218" s="6"/>
      <c r="E218" s="6"/>
      <c r="F218" s="165"/>
      <c r="G218" s="6"/>
      <c r="H218" s="1321"/>
      <c r="I218" s="1321"/>
      <c r="J218" s="1321"/>
      <c r="K218" s="1321"/>
      <c r="L218" s="1321"/>
      <c r="M218" s="1321"/>
      <c r="N218" s="1321"/>
      <c r="O218" s="109"/>
      <c r="P218" s="1257"/>
    </row>
    <row r="219" spans="2:16" s="810" customFormat="1" x14ac:dyDescent="0.2">
      <c r="B219" s="634"/>
      <c r="C219" s="109"/>
      <c r="D219" s="6"/>
      <c r="E219" s="6"/>
      <c r="F219" s="165"/>
      <c r="G219" s="6"/>
      <c r="H219" s="1321"/>
      <c r="I219" s="1321"/>
      <c r="J219" s="1321"/>
      <c r="K219" s="1321"/>
      <c r="L219" s="1321"/>
      <c r="M219" s="1321"/>
      <c r="N219" s="1321"/>
      <c r="O219" s="109"/>
      <c r="P219" s="1257"/>
    </row>
    <row r="220" spans="2:16" s="810" customFormat="1" x14ac:dyDescent="0.2">
      <c r="B220" s="634"/>
      <c r="C220" s="109"/>
      <c r="D220" s="6"/>
      <c r="E220" s="6"/>
      <c r="F220" s="165"/>
      <c r="G220" s="6"/>
      <c r="H220" s="1321"/>
      <c r="I220" s="1321"/>
      <c r="J220" s="1321"/>
      <c r="K220" s="1321"/>
      <c r="L220" s="1321"/>
      <c r="M220" s="1321"/>
      <c r="N220" s="1321"/>
      <c r="O220" s="109"/>
      <c r="P220" s="1257"/>
    </row>
    <row r="221" spans="2:16" s="810" customFormat="1" x14ac:dyDescent="0.2">
      <c r="B221" s="1301"/>
      <c r="C221" s="1302"/>
      <c r="D221" s="1303"/>
      <c r="E221" s="1303"/>
      <c r="F221" s="1304"/>
      <c r="G221" s="1303"/>
      <c r="H221" s="1305"/>
      <c r="I221" s="1305"/>
      <c r="J221" s="1305"/>
      <c r="K221" s="1305"/>
      <c r="L221" s="1305"/>
      <c r="M221" s="1305"/>
      <c r="N221" s="1305"/>
      <c r="O221" s="1306"/>
      <c r="P221" s="1257"/>
    </row>
    <row r="222" spans="2:16" s="810" customFormat="1" x14ac:dyDescent="0.2">
      <c r="B222" s="1315"/>
      <c r="C222" s="1299"/>
      <c r="D222" s="1299"/>
      <c r="E222" s="1299"/>
      <c r="F222" s="1299"/>
      <c r="G222" s="1299"/>
      <c r="H222" s="1299"/>
      <c r="I222" s="1299"/>
      <c r="J222" s="1299"/>
      <c r="K222" s="1299"/>
      <c r="L222" s="1299"/>
      <c r="M222" s="1299"/>
      <c r="N222" s="1299"/>
      <c r="O222" s="1299"/>
      <c r="P222" s="1300"/>
    </row>
    <row r="223" spans="2:16" s="810" customFormat="1" x14ac:dyDescent="0.2"/>
    <row r="224" spans="2:16" s="810" customFormat="1" x14ac:dyDescent="0.2"/>
    <row r="225" s="810" customFormat="1" x14ac:dyDescent="0.2"/>
    <row r="226" s="810" customFormat="1" x14ac:dyDescent="0.2"/>
    <row r="227" s="810" customFormat="1" x14ac:dyDescent="0.2"/>
    <row r="228" s="810" customFormat="1" x14ac:dyDescent="0.2"/>
    <row r="229" s="810" customFormat="1" x14ac:dyDescent="0.2"/>
    <row r="230" s="810" customFormat="1" x14ac:dyDescent="0.2"/>
    <row r="231" s="810" customFormat="1" x14ac:dyDescent="0.2"/>
    <row r="232" s="810" customFormat="1" x14ac:dyDescent="0.2"/>
    <row r="233" s="810" customFormat="1" x14ac:dyDescent="0.2"/>
    <row r="234" s="810" customFormat="1" x14ac:dyDescent="0.2"/>
    <row r="235" s="810" customFormat="1" x14ac:dyDescent="0.2"/>
    <row r="236" s="810" customFormat="1" x14ac:dyDescent="0.2"/>
    <row r="237" s="810" customFormat="1" x14ac:dyDescent="0.2"/>
    <row r="238" s="810" customFormat="1" x14ac:dyDescent="0.2"/>
    <row r="239" s="810" customFormat="1" x14ac:dyDescent="0.2"/>
    <row r="240" s="810" customFormat="1" x14ac:dyDescent="0.2"/>
    <row r="241" s="810" customFormat="1" x14ac:dyDescent="0.2"/>
    <row r="242" s="810" customFormat="1" x14ac:dyDescent="0.2"/>
    <row r="243" s="810" customFormat="1" x14ac:dyDescent="0.2"/>
    <row r="244" s="810" customFormat="1" x14ac:dyDescent="0.2"/>
    <row r="245" s="810" customFormat="1" x14ac:dyDescent="0.2"/>
    <row r="246" s="810" customFormat="1" x14ac:dyDescent="0.2"/>
    <row r="247" s="810" customFormat="1" x14ac:dyDescent="0.2"/>
    <row r="248" s="810" customFormat="1" x14ac:dyDescent="0.2"/>
    <row r="249" s="810" customFormat="1" x14ac:dyDescent="0.2"/>
    <row r="250" s="810" customFormat="1" x14ac:dyDescent="0.2"/>
    <row r="251" s="810" customFormat="1" x14ac:dyDescent="0.2"/>
    <row r="252" s="810" customFormat="1" x14ac:dyDescent="0.2"/>
    <row r="253" s="810" customFormat="1" x14ac:dyDescent="0.2"/>
    <row r="254" s="810" customFormat="1" x14ac:dyDescent="0.2"/>
    <row r="255" s="810" customFormat="1" x14ac:dyDescent="0.2"/>
    <row r="256" s="810" customFormat="1" x14ac:dyDescent="0.2"/>
    <row r="257" s="810" customFormat="1" x14ac:dyDescent="0.2"/>
    <row r="258" s="810" customFormat="1" x14ac:dyDescent="0.2"/>
    <row r="259" s="810" customFormat="1" x14ac:dyDescent="0.2"/>
    <row r="260" s="810" customFormat="1" x14ac:dyDescent="0.2"/>
    <row r="261" s="810" customFormat="1" x14ac:dyDescent="0.2"/>
    <row r="262" s="810" customFormat="1" x14ac:dyDescent="0.2"/>
    <row r="263" s="810" customFormat="1" x14ac:dyDescent="0.2"/>
    <row r="264" s="810" customFormat="1" x14ac:dyDescent="0.2"/>
    <row r="265" s="810" customFormat="1" x14ac:dyDescent="0.2"/>
    <row r="266" s="810" customFormat="1" x14ac:dyDescent="0.2"/>
    <row r="267" s="810" customFormat="1" x14ac:dyDescent="0.2"/>
    <row r="268" s="810" customFormat="1" x14ac:dyDescent="0.2"/>
    <row r="269" s="810" customFormat="1" x14ac:dyDescent="0.2"/>
    <row r="270" s="810" customFormat="1" x14ac:dyDescent="0.2"/>
    <row r="271" s="810" customFormat="1" x14ac:dyDescent="0.2"/>
    <row r="272" s="810" customFormat="1" x14ac:dyDescent="0.2"/>
    <row r="273" s="810" customFormat="1" x14ac:dyDescent="0.2"/>
    <row r="274" s="810" customFormat="1" x14ac:dyDescent="0.2"/>
    <row r="275" s="810" customFormat="1" x14ac:dyDescent="0.2"/>
    <row r="276" s="810" customFormat="1" x14ac:dyDescent="0.2"/>
    <row r="277" s="810" customFormat="1" x14ac:dyDescent="0.2"/>
    <row r="278" s="810" customFormat="1" x14ac:dyDescent="0.2"/>
    <row r="279" s="810" customFormat="1" x14ac:dyDescent="0.2"/>
    <row r="280" s="810" customFormat="1" x14ac:dyDescent="0.2"/>
    <row r="281" s="810" customFormat="1" x14ac:dyDescent="0.2"/>
    <row r="282" s="810" customFormat="1" x14ac:dyDescent="0.2"/>
    <row r="283" s="810" customFormat="1" x14ac:dyDescent="0.2"/>
    <row r="284" s="810" customFormat="1" x14ac:dyDescent="0.2"/>
    <row r="285" s="810" customFormat="1" x14ac:dyDescent="0.2"/>
    <row r="286" s="810" customFormat="1" x14ac:dyDescent="0.2"/>
    <row r="287" s="810" customFormat="1" x14ac:dyDescent="0.2"/>
    <row r="288" s="810" customFormat="1" x14ac:dyDescent="0.2"/>
    <row r="289" s="810" customFormat="1" x14ac:dyDescent="0.2"/>
    <row r="290" s="810" customFormat="1" x14ac:dyDescent="0.2"/>
    <row r="291" s="810" customFormat="1" x14ac:dyDescent="0.2"/>
    <row r="292" s="810" customFormat="1" x14ac:dyDescent="0.2"/>
    <row r="293" s="810" customFormat="1" x14ac:dyDescent="0.2"/>
    <row r="294" s="810" customFormat="1" x14ac:dyDescent="0.2"/>
    <row r="295" s="810" customFormat="1" x14ac:dyDescent="0.2"/>
    <row r="296" s="810" customFormat="1" x14ac:dyDescent="0.2"/>
    <row r="297" s="810" customFormat="1" x14ac:dyDescent="0.2"/>
    <row r="298" s="810" customFormat="1" x14ac:dyDescent="0.2"/>
    <row r="299" s="810" customFormat="1" x14ac:dyDescent="0.2"/>
    <row r="300" s="810" customFormat="1" x14ac:dyDescent="0.2"/>
    <row r="301" s="810" customFormat="1" x14ac:dyDescent="0.2"/>
    <row r="302" s="810" customFormat="1" x14ac:dyDescent="0.2"/>
    <row r="303" s="810" customFormat="1" x14ac:dyDescent="0.2"/>
    <row r="304" s="810" customFormat="1" x14ac:dyDescent="0.2"/>
    <row r="305" s="810" customFormat="1" x14ac:dyDescent="0.2"/>
    <row r="306" s="810" customFormat="1" x14ac:dyDescent="0.2"/>
    <row r="307" s="810" customFormat="1" x14ac:dyDescent="0.2"/>
    <row r="308" s="810" customFormat="1" x14ac:dyDescent="0.2"/>
    <row r="309" s="810" customFormat="1" x14ac:dyDescent="0.2"/>
    <row r="310" s="810" customFormat="1" ht="12.75" customHeight="1" x14ac:dyDescent="0.2"/>
    <row r="311" s="810" customFormat="1" ht="12.75" customHeight="1" x14ac:dyDescent="0.2"/>
    <row r="312" s="810" customFormat="1" ht="12.75" customHeight="1" x14ac:dyDescent="0.2"/>
    <row r="313" s="810" customFormat="1" ht="12.75" customHeight="1" x14ac:dyDescent="0.2"/>
    <row r="314" s="810" customFormat="1" ht="12.75" customHeight="1" x14ac:dyDescent="0.2"/>
    <row r="315" s="810" customFormat="1" x14ac:dyDescent="0.2"/>
    <row r="316" s="810" customFormat="1" x14ac:dyDescent="0.2"/>
    <row r="317" s="810" customFormat="1" x14ac:dyDescent="0.2"/>
    <row r="318" s="810" customFormat="1" x14ac:dyDescent="0.2"/>
    <row r="319" s="810" customFormat="1" x14ac:dyDescent="0.2"/>
    <row r="320" s="810" customFormat="1" x14ac:dyDescent="0.2"/>
    <row r="321" spans="2:18" s="810" customFormat="1" x14ac:dyDescent="0.2"/>
    <row r="322" spans="2:18" s="810" customFormat="1" x14ac:dyDescent="0.2"/>
    <row r="323" spans="2:18" s="810" customFormat="1" x14ac:dyDescent="0.2"/>
    <row r="324" spans="2:18" s="810" customFormat="1" x14ac:dyDescent="0.2"/>
    <row r="325" spans="2:18" s="810" customFormat="1" x14ac:dyDescent="0.2"/>
    <row r="326" spans="2:18" s="810" customFormat="1" x14ac:dyDescent="0.2"/>
    <row r="327" spans="2:18" s="810" customFormat="1" x14ac:dyDescent="0.2"/>
    <row r="328" spans="2:18" s="810" customFormat="1" x14ac:dyDescent="0.2"/>
    <row r="329" spans="2:18" s="810" customFormat="1" x14ac:dyDescent="0.2"/>
    <row r="330" spans="2:18" s="810" customFormat="1" x14ac:dyDescent="0.2"/>
    <row r="331" spans="2:18" s="810" customFormat="1" x14ac:dyDescent="0.2"/>
    <row r="332" spans="2:18" s="810" customFormat="1" x14ac:dyDescent="0.2"/>
    <row r="333" spans="2:18" s="810" customFormat="1" x14ac:dyDescent="0.2"/>
    <row r="334" spans="2:18" s="810" customFormat="1" x14ac:dyDescent="0.2"/>
    <row r="335" spans="2:18" x14ac:dyDescent="0.2">
      <c r="B335" s="109"/>
      <c r="C335" s="109"/>
      <c r="D335" s="109"/>
      <c r="E335" s="109"/>
      <c r="F335" s="112"/>
      <c r="G335" s="109"/>
      <c r="H335" s="112"/>
      <c r="I335" s="112"/>
      <c r="J335" s="112"/>
      <c r="K335" s="112"/>
      <c r="L335" s="112"/>
      <c r="M335" s="112"/>
      <c r="N335" s="112"/>
      <c r="O335" s="109"/>
      <c r="P335" s="109"/>
      <c r="Q335" s="109"/>
      <c r="R335" s="109"/>
    </row>
    <row r="336" spans="2:18" x14ac:dyDescent="0.2">
      <c r="B336" s="109"/>
      <c r="C336" s="109"/>
      <c r="D336" s="109"/>
      <c r="E336" s="109"/>
      <c r="F336" s="112"/>
      <c r="G336" s="109"/>
      <c r="H336" s="112"/>
      <c r="I336" s="112"/>
      <c r="J336" s="112"/>
      <c r="K336" s="112"/>
      <c r="L336" s="112"/>
      <c r="M336" s="112"/>
      <c r="N336" s="112"/>
      <c r="O336" s="109"/>
      <c r="P336" s="109"/>
      <c r="Q336" s="109"/>
      <c r="R336" s="109"/>
    </row>
    <row r="337" spans="2:18" x14ac:dyDescent="0.2">
      <c r="B337" s="109"/>
      <c r="C337" s="109"/>
      <c r="D337" s="109"/>
      <c r="E337" s="109"/>
      <c r="F337" s="112"/>
      <c r="G337" s="109"/>
      <c r="H337" s="112"/>
      <c r="I337" s="112"/>
      <c r="J337" s="112"/>
      <c r="K337" s="112"/>
      <c r="L337" s="112"/>
      <c r="M337" s="112"/>
      <c r="N337" s="112"/>
      <c r="O337" s="109"/>
      <c r="P337" s="109"/>
      <c r="Q337" s="109"/>
      <c r="R337" s="109"/>
    </row>
    <row r="338" spans="2:18" x14ac:dyDescent="0.2">
      <c r="B338" s="109"/>
      <c r="C338" s="109"/>
      <c r="D338" s="109"/>
      <c r="E338" s="109"/>
      <c r="F338" s="112"/>
      <c r="G338" s="109"/>
      <c r="H338" s="112"/>
      <c r="I338" s="112"/>
      <c r="J338" s="112"/>
      <c r="K338" s="112"/>
      <c r="L338" s="112"/>
      <c r="M338" s="112"/>
      <c r="N338" s="112"/>
      <c r="O338" s="109"/>
      <c r="P338" s="109"/>
      <c r="Q338" s="109"/>
      <c r="R338" s="109"/>
    </row>
    <row r="339" spans="2:18" x14ac:dyDescent="0.2">
      <c r="B339" s="109"/>
      <c r="C339" s="109"/>
      <c r="D339" s="109"/>
      <c r="E339" s="109"/>
      <c r="F339" s="112"/>
      <c r="G339" s="109"/>
      <c r="H339" s="112"/>
      <c r="I339" s="112"/>
      <c r="J339" s="112"/>
      <c r="K339" s="112"/>
      <c r="L339" s="112"/>
      <c r="M339" s="112"/>
      <c r="N339" s="112"/>
      <c r="O339" s="109"/>
      <c r="P339" s="109"/>
      <c r="Q339" s="109"/>
      <c r="R339" s="109"/>
    </row>
    <row r="340" spans="2:18" x14ac:dyDescent="0.2">
      <c r="B340" s="109"/>
      <c r="C340" s="109"/>
      <c r="D340" s="109"/>
      <c r="E340" s="109"/>
      <c r="F340" s="112"/>
      <c r="G340" s="109"/>
      <c r="H340" s="112"/>
      <c r="I340" s="112"/>
      <c r="J340" s="112"/>
      <c r="K340" s="112"/>
      <c r="L340" s="112"/>
      <c r="M340" s="112"/>
      <c r="N340" s="112"/>
      <c r="O340" s="109"/>
      <c r="P340" s="109"/>
      <c r="Q340" s="109"/>
      <c r="R340" s="109"/>
    </row>
    <row r="341" spans="2:18" x14ac:dyDescent="0.2">
      <c r="B341" s="109"/>
      <c r="C341" s="109"/>
      <c r="D341" s="109"/>
      <c r="E341" s="109"/>
      <c r="F341" s="112"/>
      <c r="G341" s="109"/>
      <c r="H341" s="112"/>
      <c r="I341" s="112"/>
      <c r="J341" s="112"/>
      <c r="K341" s="112"/>
      <c r="L341" s="112"/>
      <c r="M341" s="112"/>
      <c r="N341" s="112"/>
      <c r="O341" s="109"/>
      <c r="P341" s="109"/>
      <c r="Q341" s="109"/>
      <c r="R341" s="109"/>
    </row>
    <row r="342" spans="2:18" x14ac:dyDescent="0.2">
      <c r="B342" s="109"/>
      <c r="C342" s="109"/>
      <c r="D342" s="109"/>
      <c r="E342" s="109"/>
      <c r="F342" s="112"/>
      <c r="G342" s="109"/>
      <c r="H342" s="112"/>
      <c r="I342" s="112"/>
      <c r="J342" s="112"/>
      <c r="K342" s="112"/>
      <c r="L342" s="112"/>
      <c r="M342" s="112"/>
      <c r="N342" s="112"/>
      <c r="O342" s="109"/>
      <c r="P342" s="109"/>
      <c r="Q342" s="109"/>
      <c r="R342" s="109"/>
    </row>
    <row r="343" spans="2:18" x14ac:dyDescent="0.2">
      <c r="B343" s="109"/>
      <c r="C343" s="109"/>
      <c r="D343" s="109"/>
      <c r="E343" s="109"/>
      <c r="F343" s="112"/>
      <c r="G343" s="109"/>
      <c r="H343" s="112"/>
      <c r="I343" s="112"/>
      <c r="J343" s="112"/>
      <c r="K343" s="112"/>
      <c r="L343" s="112"/>
      <c r="M343" s="112"/>
      <c r="N343" s="112"/>
      <c r="O343" s="109"/>
      <c r="P343" s="109"/>
      <c r="Q343" s="109"/>
      <c r="R343" s="109"/>
    </row>
    <row r="344" spans="2:18" x14ac:dyDescent="0.2">
      <c r="B344" s="109"/>
      <c r="C344" s="109"/>
      <c r="D344" s="109"/>
      <c r="E344" s="109"/>
      <c r="F344" s="112"/>
      <c r="G344" s="109"/>
      <c r="H344" s="112"/>
      <c r="I344" s="112"/>
      <c r="J344" s="112"/>
      <c r="K344" s="112"/>
      <c r="L344" s="112"/>
      <c r="M344" s="112"/>
      <c r="N344" s="112"/>
      <c r="O344" s="109"/>
      <c r="P344" s="109"/>
      <c r="Q344" s="109"/>
      <c r="R344" s="109"/>
    </row>
    <row r="345" spans="2:18" x14ac:dyDescent="0.2">
      <c r="B345" s="109"/>
      <c r="C345" s="109"/>
      <c r="D345" s="109"/>
      <c r="E345" s="109"/>
      <c r="F345" s="112"/>
      <c r="G345" s="109"/>
      <c r="H345" s="112"/>
      <c r="I345" s="112"/>
      <c r="J345" s="112"/>
      <c r="K345" s="112"/>
      <c r="L345" s="112"/>
      <c r="M345" s="112"/>
      <c r="N345" s="112"/>
      <c r="O345" s="109"/>
      <c r="P345" s="109"/>
      <c r="Q345" s="109"/>
      <c r="R345" s="109"/>
    </row>
    <row r="346" spans="2:18" x14ac:dyDescent="0.2">
      <c r="B346" s="109"/>
      <c r="C346" s="109"/>
      <c r="D346" s="109"/>
      <c r="E346" s="109"/>
      <c r="F346" s="112"/>
      <c r="G346" s="109"/>
      <c r="H346" s="112"/>
      <c r="I346" s="112"/>
      <c r="J346" s="112"/>
      <c r="K346" s="112"/>
      <c r="L346" s="112"/>
      <c r="M346" s="112"/>
      <c r="N346" s="112"/>
      <c r="O346" s="109"/>
      <c r="P346" s="109"/>
      <c r="Q346" s="109"/>
      <c r="R346" s="109"/>
    </row>
    <row r="347" spans="2:18" x14ac:dyDescent="0.2">
      <c r="B347" s="109"/>
      <c r="C347" s="109"/>
      <c r="D347" s="109"/>
      <c r="E347" s="109"/>
      <c r="F347" s="112"/>
      <c r="G347" s="109"/>
      <c r="H347" s="112"/>
      <c r="I347" s="112"/>
      <c r="J347" s="112"/>
      <c r="K347" s="112"/>
      <c r="L347" s="112"/>
      <c r="M347" s="112"/>
      <c r="N347" s="112"/>
      <c r="O347" s="109"/>
      <c r="P347" s="109"/>
      <c r="Q347" s="109"/>
      <c r="R347" s="109"/>
    </row>
    <row r="348" spans="2:18" x14ac:dyDescent="0.2">
      <c r="B348" s="109"/>
      <c r="C348" s="109"/>
      <c r="D348" s="109"/>
      <c r="E348" s="109"/>
      <c r="F348" s="112"/>
      <c r="G348" s="109"/>
      <c r="H348" s="112"/>
      <c r="I348" s="112"/>
      <c r="J348" s="112"/>
      <c r="K348" s="112"/>
      <c r="L348" s="112"/>
      <c r="M348" s="112"/>
      <c r="N348" s="112"/>
      <c r="O348" s="109"/>
      <c r="P348" s="109"/>
      <c r="Q348" s="109"/>
      <c r="R348" s="109"/>
    </row>
    <row r="349" spans="2:18" x14ac:dyDescent="0.2">
      <c r="B349" s="109"/>
      <c r="C349" s="109"/>
      <c r="D349" s="109"/>
      <c r="E349" s="109"/>
      <c r="F349" s="112"/>
      <c r="G349" s="109"/>
      <c r="H349" s="112"/>
      <c r="I349" s="112"/>
      <c r="J349" s="112"/>
      <c r="K349" s="112"/>
      <c r="L349" s="112"/>
      <c r="M349" s="112"/>
      <c r="N349" s="112"/>
      <c r="O349" s="109"/>
      <c r="P349" s="109"/>
      <c r="Q349" s="109"/>
      <c r="R349" s="109"/>
    </row>
    <row r="350" spans="2:18" x14ac:dyDescent="0.2">
      <c r="B350" s="109"/>
      <c r="C350" s="109"/>
      <c r="D350" s="109"/>
      <c r="E350" s="109"/>
      <c r="F350" s="112"/>
      <c r="G350" s="109"/>
      <c r="H350" s="112"/>
      <c r="I350" s="112"/>
      <c r="J350" s="112"/>
      <c r="K350" s="112"/>
      <c r="L350" s="112"/>
      <c r="M350" s="112"/>
      <c r="N350" s="112"/>
      <c r="O350" s="109"/>
      <c r="P350" s="109"/>
      <c r="Q350" s="109"/>
      <c r="R350" s="109"/>
    </row>
    <row r="351" spans="2:18" x14ac:dyDescent="0.2">
      <c r="B351" s="109"/>
      <c r="C351" s="109"/>
      <c r="D351" s="109"/>
      <c r="E351" s="109"/>
      <c r="F351" s="112"/>
      <c r="G351" s="109"/>
      <c r="H351" s="112"/>
      <c r="I351" s="112"/>
      <c r="J351" s="112"/>
      <c r="K351" s="112"/>
      <c r="L351" s="112"/>
      <c r="M351" s="112"/>
      <c r="N351" s="112"/>
      <c r="O351" s="109"/>
      <c r="P351" s="109"/>
      <c r="Q351" s="109"/>
      <c r="R351" s="109"/>
    </row>
    <row r="352" spans="2:18" x14ac:dyDescent="0.2">
      <c r="B352" s="109"/>
      <c r="C352" s="109"/>
      <c r="D352" s="109"/>
      <c r="E352" s="109"/>
      <c r="F352" s="112"/>
      <c r="G352" s="109"/>
      <c r="H352" s="112"/>
      <c r="I352" s="112"/>
      <c r="J352" s="112"/>
      <c r="K352" s="112"/>
      <c r="L352" s="112"/>
      <c r="M352" s="112"/>
      <c r="N352" s="112"/>
      <c r="O352" s="109"/>
      <c r="P352" s="109"/>
      <c r="Q352" s="109"/>
      <c r="R352" s="109"/>
    </row>
    <row r="353" spans="2:18" x14ac:dyDescent="0.2">
      <c r="B353" s="109"/>
      <c r="C353" s="109"/>
      <c r="D353" s="109"/>
      <c r="E353" s="109"/>
      <c r="F353" s="112"/>
      <c r="G353" s="109"/>
      <c r="H353" s="112"/>
      <c r="I353" s="112"/>
      <c r="J353" s="112"/>
      <c r="K353" s="112"/>
      <c r="L353" s="112"/>
      <c r="M353" s="112"/>
      <c r="N353" s="112"/>
      <c r="O353" s="109"/>
      <c r="P353" s="109"/>
      <c r="Q353" s="109"/>
      <c r="R353" s="109"/>
    </row>
    <row r="354" spans="2:18" x14ac:dyDescent="0.2">
      <c r="B354" s="109"/>
      <c r="C354" s="109"/>
      <c r="D354" s="109"/>
      <c r="E354" s="109"/>
      <c r="F354" s="112"/>
      <c r="G354" s="109"/>
      <c r="H354" s="112"/>
      <c r="I354" s="112"/>
      <c r="J354" s="112"/>
      <c r="K354" s="112"/>
      <c r="L354" s="112"/>
      <c r="M354" s="112"/>
      <c r="N354" s="112"/>
      <c r="O354" s="109"/>
      <c r="P354" s="109"/>
      <c r="Q354" s="109"/>
      <c r="R354" s="109"/>
    </row>
    <row r="355" spans="2:18" x14ac:dyDescent="0.2">
      <c r="B355" s="109"/>
      <c r="C355" s="109"/>
      <c r="D355" s="109"/>
      <c r="E355" s="109"/>
      <c r="F355" s="112"/>
      <c r="G355" s="109"/>
      <c r="H355" s="112"/>
      <c r="I355" s="112"/>
      <c r="J355" s="112"/>
      <c r="K355" s="112"/>
      <c r="L355" s="112"/>
      <c r="M355" s="112"/>
      <c r="N355" s="112"/>
      <c r="O355" s="109"/>
      <c r="P355" s="109"/>
      <c r="Q355" s="109"/>
      <c r="R355" s="109"/>
    </row>
    <row r="356" spans="2:18" x14ac:dyDescent="0.2">
      <c r="B356" s="109"/>
      <c r="C356" s="109"/>
      <c r="D356" s="109"/>
      <c r="E356" s="109"/>
      <c r="F356" s="112"/>
      <c r="G356" s="109"/>
      <c r="H356" s="112"/>
      <c r="I356" s="112"/>
      <c r="J356" s="112"/>
      <c r="K356" s="112"/>
      <c r="L356" s="112"/>
      <c r="M356" s="112"/>
      <c r="N356" s="112"/>
      <c r="O356" s="109"/>
      <c r="P356" s="109"/>
      <c r="Q356" s="109"/>
      <c r="R356" s="109"/>
    </row>
    <row r="357" spans="2:18" x14ac:dyDescent="0.2">
      <c r="B357" s="109"/>
      <c r="C357" s="109"/>
      <c r="D357" s="109"/>
      <c r="E357" s="109"/>
      <c r="F357" s="112"/>
      <c r="G357" s="109"/>
      <c r="H357" s="112"/>
      <c r="I357" s="112"/>
      <c r="J357" s="112"/>
      <c r="K357" s="112"/>
      <c r="L357" s="112"/>
      <c r="M357" s="112"/>
      <c r="N357" s="112"/>
      <c r="O357" s="109"/>
      <c r="P357" s="109"/>
      <c r="Q357" s="109"/>
      <c r="R357" s="109"/>
    </row>
    <row r="358" spans="2:18" x14ac:dyDescent="0.2">
      <c r="B358" s="109"/>
      <c r="C358" s="109"/>
      <c r="D358" s="109"/>
      <c r="E358" s="109"/>
      <c r="F358" s="112"/>
      <c r="G358" s="109"/>
      <c r="H358" s="112"/>
      <c r="I358" s="112"/>
      <c r="J358" s="112"/>
      <c r="K358" s="112"/>
      <c r="L358" s="112"/>
      <c r="M358" s="112"/>
      <c r="N358" s="112"/>
      <c r="O358" s="109"/>
      <c r="P358" s="109"/>
      <c r="Q358" s="109"/>
      <c r="R358" s="109"/>
    </row>
    <row r="359" spans="2:18" x14ac:dyDescent="0.2">
      <c r="B359" s="109"/>
      <c r="C359" s="109"/>
      <c r="D359" s="109"/>
      <c r="E359" s="109"/>
      <c r="F359" s="112"/>
      <c r="G359" s="109"/>
      <c r="H359" s="112"/>
      <c r="I359" s="112"/>
      <c r="J359" s="112"/>
      <c r="K359" s="112"/>
      <c r="L359" s="112"/>
      <c r="M359" s="112"/>
      <c r="N359" s="112"/>
      <c r="O359" s="109"/>
      <c r="P359" s="109"/>
      <c r="Q359" s="109"/>
      <c r="R359" s="109"/>
    </row>
    <row r="360" spans="2:18" x14ac:dyDescent="0.2">
      <c r="B360" s="109"/>
      <c r="C360" s="109"/>
      <c r="D360" s="109"/>
      <c r="E360" s="109"/>
      <c r="F360" s="112"/>
      <c r="G360" s="109"/>
      <c r="H360" s="112"/>
      <c r="I360" s="112"/>
      <c r="J360" s="112"/>
      <c r="K360" s="112"/>
      <c r="L360" s="112"/>
      <c r="M360" s="112"/>
      <c r="N360" s="112"/>
      <c r="O360" s="109"/>
      <c r="P360" s="109"/>
      <c r="Q360" s="109"/>
      <c r="R360" s="109"/>
    </row>
    <row r="361" spans="2:18" x14ac:dyDescent="0.2">
      <c r="B361" s="109"/>
      <c r="C361" s="109"/>
      <c r="D361" s="109"/>
      <c r="E361" s="109"/>
      <c r="F361" s="112"/>
      <c r="G361" s="109"/>
      <c r="H361" s="112"/>
      <c r="I361" s="112"/>
      <c r="J361" s="112"/>
      <c r="K361" s="112"/>
      <c r="L361" s="112"/>
      <c r="M361" s="112"/>
      <c r="N361" s="112"/>
      <c r="O361" s="109"/>
      <c r="P361" s="109"/>
      <c r="Q361" s="109"/>
      <c r="R361" s="109"/>
    </row>
    <row r="362" spans="2:18" x14ac:dyDescent="0.2">
      <c r="B362" s="109"/>
      <c r="C362" s="109"/>
      <c r="D362" s="109"/>
      <c r="E362" s="109"/>
      <c r="F362" s="112"/>
      <c r="G362" s="109"/>
      <c r="H362" s="112"/>
      <c r="I362" s="112"/>
      <c r="J362" s="112"/>
      <c r="K362" s="112"/>
      <c r="L362" s="112"/>
      <c r="M362" s="112"/>
      <c r="N362" s="112"/>
      <c r="O362" s="109"/>
      <c r="P362" s="109"/>
      <c r="Q362" s="109"/>
      <c r="R362" s="109"/>
    </row>
    <row r="363" spans="2:18" x14ac:dyDescent="0.2">
      <c r="B363" s="109"/>
      <c r="C363" s="109"/>
      <c r="D363" s="109"/>
      <c r="E363" s="109"/>
      <c r="F363" s="112"/>
      <c r="G363" s="109"/>
      <c r="H363" s="112"/>
      <c r="I363" s="112"/>
      <c r="J363" s="112"/>
      <c r="K363" s="112"/>
      <c r="L363" s="112"/>
      <c r="M363" s="112"/>
      <c r="N363" s="112"/>
      <c r="O363" s="109"/>
      <c r="P363" s="109"/>
      <c r="Q363" s="109"/>
      <c r="R363" s="109"/>
    </row>
    <row r="364" spans="2:18" x14ac:dyDescent="0.2">
      <c r="B364" s="109"/>
      <c r="C364" s="109"/>
      <c r="D364" s="109"/>
      <c r="E364" s="109"/>
      <c r="F364" s="112"/>
      <c r="G364" s="109"/>
      <c r="H364" s="112"/>
      <c r="I364" s="112"/>
      <c r="J364" s="112"/>
      <c r="K364" s="112"/>
      <c r="L364" s="112"/>
      <c r="M364" s="112"/>
      <c r="N364" s="112"/>
      <c r="O364" s="109"/>
      <c r="P364" s="109"/>
      <c r="Q364" s="109"/>
      <c r="R364" s="109"/>
    </row>
    <row r="365" spans="2:18" x14ac:dyDescent="0.2">
      <c r="B365" s="109"/>
      <c r="C365" s="109"/>
      <c r="D365" s="109"/>
      <c r="E365" s="109"/>
      <c r="F365" s="112"/>
      <c r="G365" s="109"/>
      <c r="H365" s="112"/>
      <c r="I365" s="112"/>
      <c r="J365" s="112"/>
      <c r="K365" s="112"/>
      <c r="L365" s="112"/>
      <c r="M365" s="112"/>
      <c r="N365" s="112"/>
      <c r="O365" s="109"/>
      <c r="P365" s="109"/>
      <c r="Q365" s="109"/>
      <c r="R365" s="109"/>
    </row>
    <row r="366" spans="2:18" x14ac:dyDescent="0.2">
      <c r="B366" s="109"/>
      <c r="C366" s="109"/>
      <c r="D366" s="109"/>
      <c r="E366" s="109"/>
      <c r="F366" s="112"/>
      <c r="G366" s="109"/>
      <c r="H366" s="112"/>
      <c r="I366" s="112"/>
      <c r="J366" s="112"/>
      <c r="K366" s="112"/>
      <c r="L366" s="112"/>
      <c r="M366" s="112"/>
      <c r="N366" s="112"/>
      <c r="O366" s="109"/>
      <c r="P366" s="109"/>
      <c r="Q366" s="109"/>
      <c r="R366" s="109"/>
    </row>
    <row r="367" spans="2:18" x14ac:dyDescent="0.2">
      <c r="B367" s="109"/>
      <c r="C367" s="109"/>
      <c r="D367" s="109"/>
      <c r="E367" s="109"/>
      <c r="F367" s="112"/>
      <c r="G367" s="109"/>
      <c r="H367" s="112"/>
      <c r="I367" s="112"/>
      <c r="J367" s="112"/>
      <c r="K367" s="112"/>
      <c r="L367" s="112"/>
      <c r="M367" s="112"/>
      <c r="N367" s="112"/>
      <c r="O367" s="109"/>
      <c r="P367" s="109"/>
      <c r="Q367" s="109"/>
      <c r="R367" s="109"/>
    </row>
    <row r="368" spans="2:18" x14ac:dyDescent="0.2">
      <c r="B368" s="109"/>
      <c r="C368" s="109"/>
      <c r="D368" s="109"/>
      <c r="E368" s="109"/>
      <c r="F368" s="112"/>
      <c r="G368" s="109"/>
      <c r="H368" s="112"/>
      <c r="I368" s="112"/>
      <c r="J368" s="112"/>
      <c r="K368" s="112"/>
      <c r="L368" s="112"/>
      <c r="M368" s="112"/>
      <c r="N368" s="112"/>
      <c r="O368" s="109"/>
      <c r="P368" s="109"/>
      <c r="Q368" s="109"/>
      <c r="R368" s="109"/>
    </row>
    <row r="369" spans="2:18" x14ac:dyDescent="0.2">
      <c r="B369" s="109"/>
      <c r="C369" s="109"/>
      <c r="D369" s="109"/>
      <c r="E369" s="109"/>
      <c r="F369" s="112"/>
      <c r="G369" s="109"/>
      <c r="H369" s="112"/>
      <c r="I369" s="112"/>
      <c r="J369" s="112"/>
      <c r="K369" s="112"/>
      <c r="L369" s="112"/>
      <c r="M369" s="112"/>
      <c r="N369" s="112"/>
      <c r="O369" s="109"/>
      <c r="P369" s="109"/>
      <c r="Q369" s="109"/>
      <c r="R369" s="109"/>
    </row>
    <row r="370" spans="2:18" x14ac:dyDescent="0.2">
      <c r="B370" s="109"/>
      <c r="C370" s="109"/>
      <c r="D370" s="109"/>
      <c r="E370" s="109"/>
      <c r="F370" s="112"/>
      <c r="G370" s="109"/>
      <c r="H370" s="112"/>
      <c r="I370" s="112"/>
      <c r="J370" s="112"/>
      <c r="K370" s="112"/>
      <c r="L370" s="112"/>
      <c r="M370" s="112"/>
      <c r="N370" s="112"/>
      <c r="O370" s="109"/>
      <c r="P370" s="109"/>
      <c r="Q370" s="109"/>
      <c r="R370" s="109"/>
    </row>
    <row r="371" spans="2:18" x14ac:dyDescent="0.2">
      <c r="B371" s="109"/>
      <c r="C371" s="109"/>
      <c r="D371" s="109"/>
      <c r="E371" s="109"/>
      <c r="F371" s="112"/>
      <c r="G371" s="109"/>
      <c r="H371" s="112"/>
      <c r="I371" s="112"/>
      <c r="J371" s="112"/>
      <c r="K371" s="112"/>
      <c r="L371" s="112"/>
      <c r="M371" s="112"/>
      <c r="N371" s="112"/>
      <c r="O371" s="109"/>
      <c r="P371" s="109"/>
      <c r="Q371" s="109"/>
      <c r="R371" s="109"/>
    </row>
    <row r="372" spans="2:18" x14ac:dyDescent="0.2">
      <c r="B372" s="109"/>
      <c r="C372" s="109"/>
      <c r="D372" s="109"/>
      <c r="E372" s="109"/>
      <c r="F372" s="112"/>
      <c r="G372" s="109"/>
      <c r="H372" s="112"/>
      <c r="I372" s="112"/>
      <c r="J372" s="112"/>
      <c r="K372" s="112"/>
      <c r="L372" s="112"/>
      <c r="M372" s="112"/>
      <c r="N372" s="112"/>
      <c r="O372" s="109"/>
      <c r="P372" s="109"/>
      <c r="Q372" s="109"/>
      <c r="R372" s="109"/>
    </row>
    <row r="373" spans="2:18" x14ac:dyDescent="0.2">
      <c r="B373" s="109"/>
      <c r="C373" s="109"/>
      <c r="D373" s="109"/>
      <c r="E373" s="109"/>
      <c r="F373" s="112"/>
      <c r="G373" s="109"/>
      <c r="H373" s="112"/>
      <c r="I373" s="112"/>
      <c r="J373" s="112"/>
      <c r="K373" s="112"/>
      <c r="L373" s="112"/>
      <c r="M373" s="112"/>
      <c r="N373" s="112"/>
      <c r="O373" s="109"/>
      <c r="P373" s="109"/>
      <c r="Q373" s="109"/>
      <c r="R373" s="109"/>
    </row>
    <row r="374" spans="2:18" x14ac:dyDescent="0.2">
      <c r="B374" s="109"/>
      <c r="C374" s="109"/>
      <c r="D374" s="109"/>
      <c r="E374" s="109"/>
      <c r="F374" s="112"/>
      <c r="G374" s="109"/>
      <c r="H374" s="112"/>
      <c r="I374" s="112"/>
      <c r="J374" s="112"/>
      <c r="K374" s="112"/>
      <c r="L374" s="112"/>
      <c r="M374" s="112"/>
      <c r="N374" s="112"/>
      <c r="O374" s="109"/>
      <c r="P374" s="109"/>
      <c r="Q374" s="109"/>
      <c r="R374" s="109"/>
    </row>
    <row r="375" spans="2:18" x14ac:dyDescent="0.2">
      <c r="B375" s="109"/>
      <c r="C375" s="109"/>
      <c r="D375" s="109"/>
      <c r="E375" s="109"/>
      <c r="F375" s="112"/>
      <c r="G375" s="109"/>
      <c r="H375" s="112"/>
      <c r="I375" s="112"/>
      <c r="J375" s="112"/>
      <c r="K375" s="112"/>
      <c r="L375" s="112"/>
      <c r="M375" s="112"/>
      <c r="N375" s="112"/>
      <c r="O375" s="109"/>
      <c r="P375" s="109"/>
      <c r="Q375" s="109"/>
      <c r="R375" s="109"/>
    </row>
    <row r="376" spans="2:18" x14ac:dyDescent="0.2">
      <c r="B376" s="109"/>
      <c r="C376" s="109"/>
      <c r="D376" s="109"/>
      <c r="E376" s="109"/>
      <c r="F376" s="112"/>
      <c r="G376" s="109"/>
      <c r="H376" s="112"/>
      <c r="I376" s="112"/>
      <c r="J376" s="112"/>
      <c r="K376" s="112"/>
      <c r="L376" s="112"/>
      <c r="M376" s="112"/>
      <c r="N376" s="112"/>
      <c r="O376" s="109"/>
      <c r="P376" s="109"/>
      <c r="Q376" s="109"/>
      <c r="R376" s="109"/>
    </row>
    <row r="377" spans="2:18" x14ac:dyDescent="0.2">
      <c r="B377" s="109"/>
      <c r="C377" s="109"/>
      <c r="D377" s="109"/>
      <c r="E377" s="109"/>
      <c r="F377" s="112"/>
      <c r="G377" s="109"/>
      <c r="H377" s="112"/>
      <c r="I377" s="112"/>
      <c r="J377" s="112"/>
      <c r="K377" s="112"/>
      <c r="L377" s="112"/>
      <c r="M377" s="112"/>
      <c r="N377" s="112"/>
      <c r="O377" s="109"/>
      <c r="P377" s="109"/>
      <c r="Q377" s="109"/>
      <c r="R377" s="109"/>
    </row>
    <row r="378" spans="2:18" x14ac:dyDescent="0.2">
      <c r="B378" s="109"/>
      <c r="C378" s="109"/>
      <c r="D378" s="109"/>
      <c r="E378" s="109"/>
      <c r="F378" s="112"/>
      <c r="G378" s="109"/>
      <c r="H378" s="112"/>
      <c r="I378" s="112"/>
      <c r="J378" s="112"/>
      <c r="K378" s="112"/>
      <c r="L378" s="112"/>
      <c r="M378" s="112"/>
      <c r="N378" s="112"/>
      <c r="O378" s="109"/>
      <c r="P378" s="109"/>
      <c r="Q378" s="109"/>
      <c r="R378" s="109"/>
    </row>
    <row r="379" spans="2:18" x14ac:dyDescent="0.2">
      <c r="B379" s="109"/>
      <c r="C379" s="109"/>
      <c r="D379" s="109"/>
      <c r="E379" s="109"/>
      <c r="F379" s="112"/>
      <c r="G379" s="109"/>
      <c r="H379" s="112"/>
      <c r="I379" s="112"/>
      <c r="J379" s="112"/>
      <c r="K379" s="112"/>
      <c r="L379" s="112"/>
      <c r="M379" s="112"/>
      <c r="N379" s="112"/>
      <c r="O379" s="109"/>
      <c r="P379" s="109"/>
      <c r="Q379" s="109"/>
      <c r="R379" s="109"/>
    </row>
    <row r="380" spans="2:18" x14ac:dyDescent="0.2">
      <c r="B380" s="109"/>
      <c r="C380" s="109"/>
      <c r="D380" s="109"/>
      <c r="E380" s="109"/>
      <c r="F380" s="112"/>
      <c r="G380" s="109"/>
      <c r="H380" s="112"/>
      <c r="I380" s="112"/>
      <c r="J380" s="112"/>
      <c r="K380" s="112"/>
      <c r="L380" s="112"/>
      <c r="M380" s="112"/>
      <c r="N380" s="112"/>
      <c r="O380" s="109"/>
      <c r="P380" s="109"/>
      <c r="Q380" s="109"/>
      <c r="R380" s="109"/>
    </row>
  </sheetData>
  <sheetProtection algorithmName="SHA-512" hashValue="thG+GmKBNrNGZG5wFc11PfR8jKGiSU8nlcXGijUFTF5VwCeDDWusXFbr18xVHqPOis2zNdeOCTUDw5aQ+rgLvA==" saltValue="bv0/TLgi7eDmG4Ie/WHK5w==" spinCount="100000" sheet="1" objects="1" scenarios="1"/>
  <phoneticPr fontId="0" type="noConversion"/>
  <pageMargins left="0.74803149606299213" right="0.74803149606299213" top="0.98425196850393704" bottom="0.98425196850393704" header="0.51181102362204722" footer="0.51181102362204722"/>
  <pageSetup paperSize="9" scale="50" orientation="portrait" r:id="rId1"/>
  <headerFooter alignWithMargins="0">
    <oddHeader>&amp;L&amp;"Arial,Vet"&amp;9&amp;F&amp;R&amp;"Arial,Vet"&amp;9&amp;A</oddHeader>
    <oddFooter>&amp;L&amp;"Arial,Vet"&amp;9be.keizer@wxs.nl&amp;C&amp;"Arial,Vet"&amp;9pagina &amp;P&amp;R&amp;"Arial,Vet"&amp;9&amp;D</oddFooter>
  </headerFooter>
  <rowBreaks count="3" manualBreakCount="3">
    <brk id="110" min="1" max="15" man="1"/>
    <brk id="231" min="1" max="13" man="1"/>
    <brk id="309"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21</vt:i4>
      </vt:variant>
      <vt:variant>
        <vt:lpstr>Benoemde bereiken</vt:lpstr>
      </vt:variant>
      <vt:variant>
        <vt:i4>31</vt:i4>
      </vt:variant>
    </vt:vector>
  </HeadingPairs>
  <TitlesOfParts>
    <vt:vector size="52" baseType="lpstr">
      <vt:lpstr>toel</vt:lpstr>
      <vt:lpstr>geg ll</vt:lpstr>
      <vt:lpstr>LWOO-PRO</vt:lpstr>
      <vt:lpstr>pers</vt:lpstr>
      <vt:lpstr>overdr VSO</vt:lpstr>
      <vt:lpstr>peild VSO</vt:lpstr>
      <vt:lpstr> sal SWV</vt:lpstr>
      <vt:lpstr>mat</vt:lpstr>
      <vt:lpstr>programma's</vt:lpstr>
      <vt:lpstr>mip</vt:lpstr>
      <vt:lpstr>act</vt:lpstr>
      <vt:lpstr>begr</vt:lpstr>
      <vt:lpstr>bal</vt:lpstr>
      <vt:lpstr>liq</vt:lpstr>
      <vt:lpstr>ken</vt:lpstr>
      <vt:lpstr>graf</vt:lpstr>
      <vt:lpstr>tab</vt:lpstr>
      <vt:lpstr>sal</vt:lpstr>
      <vt:lpstr>Li O school</vt:lpstr>
      <vt:lpstr>Zw O school</vt:lpstr>
      <vt:lpstr>hlpbl</vt:lpstr>
      <vt:lpstr>' sal SWV'!Afdrukbereik</vt:lpstr>
      <vt:lpstr>act!Afdrukbereik</vt:lpstr>
      <vt:lpstr>bal!Afdrukbereik</vt:lpstr>
      <vt:lpstr>begr!Afdrukbereik</vt:lpstr>
      <vt:lpstr>'geg ll'!Afdrukbereik</vt:lpstr>
      <vt:lpstr>graf!Afdrukbereik</vt:lpstr>
      <vt:lpstr>hlpbl!Afdrukbereik</vt:lpstr>
      <vt:lpstr>ken!Afdrukbereik</vt:lpstr>
      <vt:lpstr>'Li O school'!Afdrukbereik</vt:lpstr>
      <vt:lpstr>liq!Afdrukbereik</vt:lpstr>
      <vt:lpstr>'LWOO-PRO'!Afdrukbereik</vt:lpstr>
      <vt:lpstr>mat!Afdrukbereik</vt:lpstr>
      <vt:lpstr>mip!Afdrukbereik</vt:lpstr>
      <vt:lpstr>'overdr VSO'!Afdrukbereik</vt:lpstr>
      <vt:lpstr>'peild VSO'!Afdrukbereik</vt:lpstr>
      <vt:lpstr>pers!Afdrukbereik</vt:lpstr>
      <vt:lpstr>'programma''s'!Afdrukbereik</vt:lpstr>
      <vt:lpstr>sal!Afdrukbereik</vt:lpstr>
      <vt:lpstr>tab!Afdrukbereik</vt:lpstr>
      <vt:lpstr>toel!Afdrukbereik</vt:lpstr>
      <vt:lpstr>'Zw O school'!Afdrukbereik</vt:lpstr>
      <vt:lpstr>Afdrukbereik</vt:lpstr>
      <vt:lpstr>categorieMatVSO</vt:lpstr>
      <vt:lpstr>categoriePersVSO</vt:lpstr>
      <vt:lpstr>' sal SWV'!Criteria</vt:lpstr>
      <vt:lpstr>sal2018juni</vt:lpstr>
      <vt:lpstr>sal2019jan</vt:lpstr>
      <vt:lpstr>sal2019juni</vt:lpstr>
      <vt:lpstr>salaug2020</vt:lpstr>
      <vt:lpstr>salmrt2020</vt:lpstr>
      <vt:lpstr>Verhoudingstabel_LB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2012-11-10T17:08:44Z</dcterms:created>
  <dcterms:modified xsi:type="dcterms:W3CDTF">2021-08-17T10:54:35Z</dcterms:modified>
</cp:coreProperties>
</file>